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TO2018\Workpapers\"/>
    </mc:Choice>
  </mc:AlternateContent>
  <bookViews>
    <workbookView xWindow="0" yWindow="0" windowWidth="25200" windowHeight="11985" firstSheet="3" activeTab="3"/>
  </bookViews>
  <sheets>
    <sheet name="6-PlantInService" sheetId="1" state="hidden" r:id="rId1"/>
    <sheet name="8-AccDep" sheetId="2" state="hidden" r:id="rId2"/>
    <sheet name="17-Depreciation" sheetId="10" state="hidden" r:id="rId3"/>
    <sheet name="Trans Plant-Rsrve Act" sheetId="4" r:id="rId4"/>
    <sheet name="2016 ISO Study with Inc Plant" sheetId="5" state="hidden" r:id="rId5"/>
    <sheet name="2015 ISO Study with Inc Plant" sheetId="6" r:id="rId6"/>
    <sheet name="Accum Depr Calc" sheetId="7" r:id="rId7"/>
    <sheet name="Reserve Recon to FF1" sheetId="8" r:id="rId8"/>
    <sheet name="General &amp; Intangible Reserve" sheetId="9" r:id="rId9"/>
  </sheets>
  <externalReferences>
    <externalReference r:id="rId10"/>
    <externalReference r:id="rId11"/>
    <externalReference r:id="rId12"/>
  </externalReferences>
  <definedNames>
    <definedName name="_Fill" localSheetId="4" hidden="1">#REF!</definedName>
    <definedName name="_Fill" localSheetId="6" hidden="1">#REF!</definedName>
    <definedName name="_Fill" hidden="1">#REF!</definedName>
    <definedName name="_Key2" localSheetId="4" hidden="1">[1]ACCT_106!#REF!</definedName>
    <definedName name="_Key2" localSheetId="6" hidden="1">[2]ACCT_106!#REF!</definedName>
    <definedName name="_Key2" localSheetId="7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4">'[3]8-AccDep'!#REF!</definedName>
    <definedName name="_RWIPMethod">'[3]8-AccDep'!#REF!</definedName>
    <definedName name="_xlnm.Print_Area" localSheetId="2">'17-Depreciation'!$A$1:$M$107</definedName>
    <definedName name="_xlnm.Print_Area" localSheetId="5">'2015 ISO Study with Inc Plant'!$A$1:$G$39</definedName>
    <definedName name="_xlnm.Print_Area" localSheetId="4">'2016 ISO Study with Inc Plant'!$A$1:$G$39</definedName>
    <definedName name="_xlnm.Print_Area" localSheetId="0">'6-PlantInService'!$B$3:$N$233</definedName>
    <definedName name="_xlnm.Print_Area" localSheetId="1">'8-AccDep'!$B$3:$O$156</definedName>
    <definedName name="_xlnm.Print_Area" localSheetId="7">'Reserve Recon to FF1'!$A$3:$G$44</definedName>
    <definedName name="_xlnm.Print_Area" localSheetId="3">'Trans Plant-Rsrve Act'!$B$2:$N$67</definedName>
    <definedName name="Reference_2" localSheetId="2" hidden="1">{#N/A,#N/A,FALSE,"AD PG 1 OF 2";#N/A,#N/A,FALSE,"AD PG 2 OF 2"}</definedName>
    <definedName name="Reference_2" localSheetId="7" hidden="1">{#N/A,#N/A,FALSE,"AD PG 1 OF 2";#N/A,#N/A,FALSE,"AD PG 2 OF 2"}</definedName>
    <definedName name="Reference_2" hidden="1">{#N/A,#N/A,FALSE,"AD PG 1 OF 2";#N/A,#N/A,FALSE,"AD PG 2 OF 2"}</definedName>
    <definedName name="Test" localSheetId="2" hidden="1">{#N/A,#N/A,FALSE,"AD PG 1 OF 2";#N/A,#N/A,FALSE,"AD PG 2 OF 2"}</definedName>
    <definedName name="Test" localSheetId="7" hidden="1">{#N/A,#N/A,FALSE,"AD PG 1 OF 2";#N/A,#N/A,FALSE,"AD PG 2 OF 2"}</definedName>
    <definedName name="Test" hidden="1">{#N/A,#N/A,FALSE,"AD PG 1 OF 2";#N/A,#N/A,FALSE,"AD PG 2 OF 2"}</definedName>
    <definedName name="wrn.Statement._.AD." localSheetId="2" hidden="1">{#N/A,#N/A,FALSE,"AD PG 1 OF 2";#N/A,#N/A,FALSE,"AD PG 2 OF 2"}</definedName>
    <definedName name="wrn.Statement._.AD." localSheetId="7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2" hidden="1">{#N/A,#N/A,FALSE,"AD PG 1 OF 2";#N/A,#N/A,FALSE,"AD PG 2 OF 2"}</definedName>
    <definedName name="wrn.statement._.AD.old" localSheetId="7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2" hidden="1">{#N/A,#N/A,FALSE,"AD PG 1 OF 2";#N/A,#N/A,FALSE,"AD PG 2 OF 2"}</definedName>
    <definedName name="wrn.Statement._.AD2." localSheetId="7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2" hidden="1">{#N/A,#N/A,FALSE,"AD PG 1 OF 2";#N/A,#N/A,FALSE,"AD PG 2 OF 2"}</definedName>
    <definedName name="wrn.statement._.AD3." localSheetId="7" hidden="1">{#N/A,#N/A,FALSE,"AD PG 1 OF 2";#N/A,#N/A,FALSE,"AD PG 2 OF 2"}</definedName>
    <definedName name="wrn.statement._.AD3." hidden="1">{#N/A,#N/A,FALSE,"AD PG 1 OF 2";#N/A,#N/A,FALSE,"AD PG 2 OF 2"}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9" i="1" l="1"/>
  <c r="C200" i="1"/>
  <c r="C201" i="1"/>
  <c r="C202" i="1"/>
  <c r="C203" i="1"/>
  <c r="C204" i="1"/>
  <c r="C205" i="1"/>
  <c r="C206" i="1"/>
  <c r="C207" i="1"/>
  <c r="C208" i="1"/>
  <c r="C209" i="1"/>
  <c r="C198" i="1"/>
  <c r="C169" i="1"/>
  <c r="C170" i="1"/>
  <c r="C171" i="1"/>
  <c r="C172" i="1"/>
  <c r="C173" i="1"/>
  <c r="C174" i="1"/>
  <c r="C175" i="1"/>
  <c r="C176" i="1"/>
  <c r="C177" i="1"/>
  <c r="C178" i="1"/>
  <c r="C179" i="1"/>
  <c r="C168" i="1"/>
  <c r="C152" i="1"/>
  <c r="C153" i="1"/>
  <c r="C154" i="1"/>
  <c r="C155" i="1"/>
  <c r="C156" i="1"/>
  <c r="C157" i="1"/>
  <c r="C158" i="1"/>
  <c r="C159" i="1"/>
  <c r="C160" i="1"/>
  <c r="C161" i="1"/>
  <c r="C162" i="1"/>
  <c r="C151" i="1"/>
  <c r="C133" i="1"/>
  <c r="C134" i="1"/>
  <c r="C135" i="1"/>
  <c r="C136" i="1"/>
  <c r="C137" i="1"/>
  <c r="C138" i="1"/>
  <c r="C139" i="1"/>
  <c r="C140" i="1"/>
  <c r="C141" i="1"/>
  <c r="C142" i="1"/>
  <c r="C143" i="1"/>
  <c r="C132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13" i="1"/>
  <c r="C95" i="1"/>
  <c r="C96" i="1"/>
  <c r="C97" i="1"/>
  <c r="C98" i="1"/>
  <c r="C99" i="1"/>
  <c r="C100" i="1"/>
  <c r="C101" i="1"/>
  <c r="C102" i="1"/>
  <c r="C103" i="1"/>
  <c r="C104" i="1"/>
  <c r="C105" i="1"/>
  <c r="C94" i="1"/>
  <c r="C76" i="1"/>
  <c r="C77" i="1"/>
  <c r="C78" i="1"/>
  <c r="C79" i="1"/>
  <c r="C80" i="1"/>
  <c r="C81" i="1"/>
  <c r="C82" i="1"/>
  <c r="C83" i="1"/>
  <c r="C84" i="1"/>
  <c r="C85" i="1"/>
  <c r="C86" i="1"/>
  <c r="C87" i="1"/>
  <c r="C75" i="1"/>
  <c r="D122" i="2"/>
  <c r="D123" i="2"/>
  <c r="D124" i="2"/>
  <c r="D125" i="2"/>
  <c r="D126" i="2"/>
  <c r="D127" i="2"/>
  <c r="D128" i="2"/>
  <c r="D129" i="2"/>
  <c r="D130" i="2"/>
  <c r="D131" i="2"/>
  <c r="D132" i="2"/>
  <c r="D121" i="2"/>
  <c r="D92" i="2"/>
  <c r="D93" i="2"/>
  <c r="D94" i="2"/>
  <c r="D95" i="2"/>
  <c r="D96" i="2"/>
  <c r="D97" i="2"/>
  <c r="D98" i="2"/>
  <c r="D99" i="2"/>
  <c r="D100" i="2"/>
  <c r="D101" i="2"/>
  <c r="D102" i="2"/>
  <c r="D91" i="2"/>
  <c r="D73" i="2"/>
  <c r="D74" i="2"/>
  <c r="D75" i="2"/>
  <c r="D76" i="2"/>
  <c r="D77" i="2"/>
  <c r="D78" i="2"/>
  <c r="D79" i="2"/>
  <c r="D80" i="2"/>
  <c r="D81" i="2"/>
  <c r="D82" i="2"/>
  <c r="D83" i="2"/>
  <c r="D72" i="2"/>
  <c r="D36" i="2"/>
  <c r="D47" i="2" s="1"/>
  <c r="D35" i="2"/>
  <c r="D46" i="2" s="1"/>
  <c r="D14" i="8" l="1"/>
  <c r="L36" i="7"/>
  <c r="L35" i="7"/>
  <c r="K35" i="7"/>
  <c r="J35" i="7"/>
  <c r="I35" i="7"/>
  <c r="H35" i="7"/>
  <c r="G35" i="7"/>
  <c r="F35" i="7"/>
  <c r="E35" i="7"/>
  <c r="D35" i="7"/>
  <c r="L34" i="7"/>
  <c r="L37" i="7" s="1"/>
  <c r="K34" i="7"/>
  <c r="J34" i="7"/>
  <c r="I34" i="7"/>
  <c r="H34" i="7"/>
  <c r="G34" i="7"/>
  <c r="F34" i="7"/>
  <c r="E34" i="7"/>
  <c r="D34" i="7"/>
  <c r="M29" i="7"/>
  <c r="L28" i="7"/>
  <c r="K28" i="7"/>
  <c r="K36" i="7" s="1"/>
  <c r="J28" i="7"/>
  <c r="J36" i="7" s="1"/>
  <c r="I28" i="7"/>
  <c r="I36" i="7" s="1"/>
  <c r="H28" i="7"/>
  <c r="H36" i="7" s="1"/>
  <c r="G28" i="7"/>
  <c r="G36" i="7" s="1"/>
  <c r="F28" i="7"/>
  <c r="F36" i="7" s="1"/>
  <c r="E28" i="7"/>
  <c r="E36" i="7" s="1"/>
  <c r="D28" i="7"/>
  <c r="C28" i="7"/>
  <c r="M27" i="7"/>
  <c r="M26" i="7"/>
  <c r="G19" i="7"/>
  <c r="I19" i="7"/>
  <c r="D18" i="7"/>
  <c r="D17" i="7"/>
  <c r="D11" i="7"/>
  <c r="E11" i="7"/>
  <c r="E19" i="7" s="1"/>
  <c r="F11" i="7"/>
  <c r="F19" i="7" s="1"/>
  <c r="F20" i="7" s="1"/>
  <c r="G11" i="7"/>
  <c r="H11" i="7"/>
  <c r="H19" i="7" s="1"/>
  <c r="I11" i="7"/>
  <c r="J11" i="7"/>
  <c r="J19" i="7" s="1"/>
  <c r="K11" i="7"/>
  <c r="K19" i="7" s="1"/>
  <c r="L11" i="7"/>
  <c r="L19" i="7" s="1"/>
  <c r="C11" i="7"/>
  <c r="E18" i="7"/>
  <c r="F18" i="7"/>
  <c r="G18" i="7"/>
  <c r="H18" i="7"/>
  <c r="I18" i="7"/>
  <c r="J18" i="7"/>
  <c r="K18" i="7"/>
  <c r="L18" i="7"/>
  <c r="E17" i="7"/>
  <c r="E20" i="7" s="1"/>
  <c r="F17" i="7"/>
  <c r="G17" i="7"/>
  <c r="H17" i="7"/>
  <c r="I17" i="7"/>
  <c r="I20" i="7" s="1"/>
  <c r="J17" i="7"/>
  <c r="J20" i="7" s="1"/>
  <c r="K17" i="7"/>
  <c r="L17" i="7"/>
  <c r="M10" i="7"/>
  <c r="M12" i="7"/>
  <c r="M9" i="7"/>
  <c r="C24" i="4"/>
  <c r="C25" i="4"/>
  <c r="C26" i="4"/>
  <c r="C27" i="4"/>
  <c r="C28" i="4"/>
  <c r="C29" i="4"/>
  <c r="C30" i="4"/>
  <c r="C31" i="4"/>
  <c r="C32" i="4"/>
  <c r="C33" i="4"/>
  <c r="C34" i="4"/>
  <c r="C35" i="4"/>
  <c r="C23" i="4"/>
  <c r="D9" i="8"/>
  <c r="M28" i="7" l="1"/>
  <c r="M35" i="7"/>
  <c r="K20" i="7"/>
  <c r="G20" i="7"/>
  <c r="D19" i="7"/>
  <c r="F37" i="7"/>
  <c r="J37" i="7"/>
  <c r="H37" i="7"/>
  <c r="M17" i="7"/>
  <c r="G37" i="7"/>
  <c r="K37" i="7"/>
  <c r="E37" i="7"/>
  <c r="I37" i="7"/>
  <c r="D36" i="7"/>
  <c r="M36" i="7" s="1"/>
  <c r="M34" i="7"/>
  <c r="M19" i="7"/>
  <c r="L20" i="7"/>
  <c r="H20" i="7"/>
  <c r="D20" i="7"/>
  <c r="M18" i="7"/>
  <c r="M11" i="7"/>
  <c r="D24" i="8"/>
  <c r="D11" i="8"/>
  <c r="D10" i="8"/>
  <c r="C11" i="8"/>
  <c r="C10" i="8"/>
  <c r="C9" i="8"/>
  <c r="C24" i="8"/>
  <c r="M20" i="7" l="1"/>
  <c r="D37" i="7"/>
  <c r="M37" i="7" s="1"/>
  <c r="D12" i="8"/>
  <c r="C12" i="8"/>
  <c r="C14" i="8" s="1"/>
  <c r="E24" i="10"/>
  <c r="F24" i="10"/>
  <c r="G24" i="10"/>
  <c r="H24" i="10"/>
  <c r="I24" i="10"/>
  <c r="J24" i="10"/>
  <c r="K24" i="10"/>
  <c r="L24" i="10"/>
  <c r="A45" i="10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44" i="10"/>
  <c r="A13" i="10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9" i="10" s="1"/>
  <c r="H26" i="2"/>
  <c r="I26" i="2"/>
  <c r="J26" i="2"/>
  <c r="K26" i="2"/>
  <c r="L26" i="2"/>
  <c r="M26" i="2"/>
  <c r="N26" i="2"/>
  <c r="G26" i="2"/>
  <c r="H14" i="2"/>
  <c r="I14" i="2"/>
  <c r="J14" i="2"/>
  <c r="K14" i="2"/>
  <c r="L14" i="2"/>
  <c r="M14" i="2"/>
  <c r="N14" i="2"/>
  <c r="G14" i="2"/>
  <c r="F26" i="2"/>
  <c r="F14" i="2"/>
  <c r="E113" i="1"/>
  <c r="F113" i="1"/>
  <c r="G113" i="1"/>
  <c r="H113" i="1"/>
  <c r="I113" i="1"/>
  <c r="J113" i="1"/>
  <c r="K113" i="1"/>
  <c r="L113" i="1"/>
  <c r="M113" i="1"/>
  <c r="E114" i="1"/>
  <c r="F114" i="1"/>
  <c r="G114" i="1"/>
  <c r="H114" i="1"/>
  <c r="I114" i="1"/>
  <c r="J114" i="1"/>
  <c r="K114" i="1"/>
  <c r="L114" i="1"/>
  <c r="M114" i="1"/>
  <c r="E115" i="1"/>
  <c r="F115" i="1"/>
  <c r="G115" i="1"/>
  <c r="H115" i="1"/>
  <c r="I115" i="1"/>
  <c r="J115" i="1"/>
  <c r="K115" i="1"/>
  <c r="L115" i="1"/>
  <c r="M115" i="1"/>
  <c r="E116" i="1"/>
  <c r="F116" i="1"/>
  <c r="G116" i="1"/>
  <c r="H116" i="1"/>
  <c r="I116" i="1"/>
  <c r="J116" i="1"/>
  <c r="K116" i="1"/>
  <c r="L116" i="1"/>
  <c r="M116" i="1"/>
  <c r="E117" i="1"/>
  <c r="F117" i="1"/>
  <c r="G117" i="1"/>
  <c r="H117" i="1"/>
  <c r="I117" i="1"/>
  <c r="J117" i="1"/>
  <c r="K117" i="1"/>
  <c r="L117" i="1"/>
  <c r="M117" i="1"/>
  <c r="E118" i="1"/>
  <c r="F118" i="1"/>
  <c r="G118" i="1"/>
  <c r="H118" i="1"/>
  <c r="I118" i="1"/>
  <c r="J118" i="1"/>
  <c r="K118" i="1"/>
  <c r="L118" i="1"/>
  <c r="M118" i="1"/>
  <c r="E119" i="1"/>
  <c r="F119" i="1"/>
  <c r="G119" i="1"/>
  <c r="H119" i="1"/>
  <c r="I119" i="1"/>
  <c r="J119" i="1"/>
  <c r="K119" i="1"/>
  <c r="L119" i="1"/>
  <c r="M119" i="1"/>
  <c r="E120" i="1"/>
  <c r="F120" i="1"/>
  <c r="G120" i="1"/>
  <c r="H120" i="1"/>
  <c r="I120" i="1"/>
  <c r="J120" i="1"/>
  <c r="K120" i="1"/>
  <c r="L120" i="1"/>
  <c r="M120" i="1"/>
  <c r="E121" i="1"/>
  <c r="F121" i="1"/>
  <c r="G121" i="1"/>
  <c r="H121" i="1"/>
  <c r="I121" i="1"/>
  <c r="J121" i="1"/>
  <c r="K121" i="1"/>
  <c r="L121" i="1"/>
  <c r="M121" i="1"/>
  <c r="E122" i="1"/>
  <c r="F122" i="1"/>
  <c r="G122" i="1"/>
  <c r="H122" i="1"/>
  <c r="I122" i="1"/>
  <c r="J122" i="1"/>
  <c r="K122" i="1"/>
  <c r="L122" i="1"/>
  <c r="M122" i="1"/>
  <c r="E123" i="1"/>
  <c r="F123" i="1"/>
  <c r="G123" i="1"/>
  <c r="H123" i="1"/>
  <c r="I123" i="1"/>
  <c r="J123" i="1"/>
  <c r="K123" i="1"/>
  <c r="L123" i="1"/>
  <c r="M123" i="1"/>
  <c r="E124" i="1"/>
  <c r="F124" i="1"/>
  <c r="G124" i="1"/>
  <c r="H124" i="1"/>
  <c r="I124" i="1"/>
  <c r="J124" i="1"/>
  <c r="K124" i="1"/>
  <c r="L124" i="1"/>
  <c r="M124" i="1"/>
  <c r="E125" i="1"/>
  <c r="F125" i="1"/>
  <c r="G125" i="1"/>
  <c r="H125" i="1"/>
  <c r="I125" i="1"/>
  <c r="J125" i="1"/>
  <c r="K125" i="1"/>
  <c r="L125" i="1"/>
  <c r="M125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13" i="1"/>
  <c r="D87" i="1"/>
  <c r="E87" i="1"/>
  <c r="E75" i="1"/>
  <c r="F75" i="1"/>
  <c r="G75" i="1"/>
  <c r="H75" i="1"/>
  <c r="I75" i="1"/>
  <c r="J75" i="1"/>
  <c r="K75" i="1"/>
  <c r="L75" i="1"/>
  <c r="M75" i="1"/>
  <c r="E76" i="1"/>
  <c r="F76" i="1"/>
  <c r="G76" i="1"/>
  <c r="H76" i="1"/>
  <c r="I76" i="1"/>
  <c r="J76" i="1"/>
  <c r="K76" i="1"/>
  <c r="L76" i="1"/>
  <c r="M76" i="1"/>
  <c r="E77" i="1"/>
  <c r="F77" i="1"/>
  <c r="G77" i="1"/>
  <c r="H77" i="1"/>
  <c r="I77" i="1"/>
  <c r="J77" i="1"/>
  <c r="K77" i="1"/>
  <c r="L77" i="1"/>
  <c r="M77" i="1"/>
  <c r="E78" i="1"/>
  <c r="F78" i="1"/>
  <c r="G78" i="1"/>
  <c r="H78" i="1"/>
  <c r="I78" i="1"/>
  <c r="J78" i="1"/>
  <c r="K78" i="1"/>
  <c r="L78" i="1"/>
  <c r="M78" i="1"/>
  <c r="E79" i="1"/>
  <c r="F79" i="1"/>
  <c r="G79" i="1"/>
  <c r="H79" i="1"/>
  <c r="I79" i="1"/>
  <c r="J79" i="1"/>
  <c r="K79" i="1"/>
  <c r="L79" i="1"/>
  <c r="M79" i="1"/>
  <c r="E80" i="1"/>
  <c r="F80" i="1"/>
  <c r="G80" i="1"/>
  <c r="H80" i="1"/>
  <c r="I80" i="1"/>
  <c r="J80" i="1"/>
  <c r="K80" i="1"/>
  <c r="L80" i="1"/>
  <c r="M80" i="1"/>
  <c r="E81" i="1"/>
  <c r="F81" i="1"/>
  <c r="G81" i="1"/>
  <c r="H81" i="1"/>
  <c r="I81" i="1"/>
  <c r="J81" i="1"/>
  <c r="K81" i="1"/>
  <c r="L81" i="1"/>
  <c r="M81" i="1"/>
  <c r="E82" i="1"/>
  <c r="F82" i="1"/>
  <c r="G82" i="1"/>
  <c r="H82" i="1"/>
  <c r="I82" i="1"/>
  <c r="J82" i="1"/>
  <c r="K82" i="1"/>
  <c r="L82" i="1"/>
  <c r="M82" i="1"/>
  <c r="E83" i="1"/>
  <c r="F83" i="1"/>
  <c r="G83" i="1"/>
  <c r="H83" i="1"/>
  <c r="I83" i="1"/>
  <c r="J83" i="1"/>
  <c r="K83" i="1"/>
  <c r="L83" i="1"/>
  <c r="M83" i="1"/>
  <c r="E84" i="1"/>
  <c r="F84" i="1"/>
  <c r="G84" i="1"/>
  <c r="H84" i="1"/>
  <c r="I84" i="1"/>
  <c r="J84" i="1"/>
  <c r="K84" i="1"/>
  <c r="L84" i="1"/>
  <c r="M84" i="1"/>
  <c r="E85" i="1"/>
  <c r="F85" i="1"/>
  <c r="G85" i="1"/>
  <c r="H85" i="1"/>
  <c r="I85" i="1"/>
  <c r="J85" i="1"/>
  <c r="K85" i="1"/>
  <c r="L85" i="1"/>
  <c r="M85" i="1"/>
  <c r="E86" i="1"/>
  <c r="F86" i="1"/>
  <c r="G86" i="1"/>
  <c r="H86" i="1"/>
  <c r="I86" i="1"/>
  <c r="J86" i="1"/>
  <c r="K86" i="1"/>
  <c r="L86" i="1"/>
  <c r="M86" i="1"/>
  <c r="D76" i="1"/>
  <c r="D77" i="1"/>
  <c r="D78" i="1"/>
  <c r="D79" i="1"/>
  <c r="D80" i="1"/>
  <c r="D81" i="1"/>
  <c r="D82" i="1"/>
  <c r="D83" i="1"/>
  <c r="D84" i="1"/>
  <c r="D85" i="1"/>
  <c r="D86" i="1"/>
  <c r="D75" i="1"/>
  <c r="E25" i="1"/>
  <c r="D24" i="10" s="1"/>
  <c r="D25" i="1"/>
  <c r="C24" i="10" s="1"/>
  <c r="E13" i="1"/>
  <c r="D12" i="10" s="1"/>
  <c r="D49" i="10" s="1"/>
  <c r="F72" i="2" s="1"/>
  <c r="F13" i="1"/>
  <c r="E12" i="10" s="1"/>
  <c r="E49" i="10" s="1"/>
  <c r="G72" i="2" s="1"/>
  <c r="G13" i="1"/>
  <c r="F12" i="10" s="1"/>
  <c r="F49" i="10" s="1"/>
  <c r="H13" i="1"/>
  <c r="G12" i="10" s="1"/>
  <c r="G49" i="10" s="1"/>
  <c r="I72" i="2" s="1"/>
  <c r="I13" i="1"/>
  <c r="H12" i="10" s="1"/>
  <c r="H49" i="10" s="1"/>
  <c r="J72" i="2" s="1"/>
  <c r="J13" i="1"/>
  <c r="I12" i="10" s="1"/>
  <c r="I49" i="10" s="1"/>
  <c r="K72" i="2" s="1"/>
  <c r="K13" i="1"/>
  <c r="J12" i="10" s="1"/>
  <c r="J49" i="10" s="1"/>
  <c r="L13" i="1"/>
  <c r="K12" i="10" s="1"/>
  <c r="K49" i="10" s="1"/>
  <c r="M72" i="2" s="1"/>
  <c r="M13" i="1"/>
  <c r="L12" i="10" s="1"/>
  <c r="L49" i="10" s="1"/>
  <c r="N72" i="2" s="1"/>
  <c r="D13" i="1"/>
  <c r="C12" i="10" s="1"/>
  <c r="L72" i="2" l="1"/>
  <c r="H72" i="2"/>
  <c r="M12" i="10"/>
  <c r="M24" i="10"/>
  <c r="C49" i="10"/>
  <c r="E72" i="2" s="1"/>
  <c r="M49" i="10" l="1"/>
  <c r="D7" i="9" l="1"/>
  <c r="D6" i="9"/>
  <c r="D37" i="6"/>
  <c r="F35" i="6"/>
  <c r="F37" i="6" s="1"/>
  <c r="D35" i="6"/>
  <c r="E35" i="6" s="1"/>
  <c r="C35" i="6"/>
  <c r="C37" i="6" s="1"/>
  <c r="B35" i="6"/>
  <c r="B37" i="6" s="1"/>
  <c r="G34" i="6"/>
  <c r="E34" i="6"/>
  <c r="G33" i="6"/>
  <c r="E33" i="6"/>
  <c r="G31" i="6"/>
  <c r="E31" i="6"/>
  <c r="F24" i="6"/>
  <c r="E24" i="6"/>
  <c r="D24" i="6"/>
  <c r="C24" i="6"/>
  <c r="B24" i="6"/>
  <c r="G23" i="6"/>
  <c r="E23" i="6"/>
  <c r="G22" i="6"/>
  <c r="E22" i="6"/>
  <c r="G21" i="6"/>
  <c r="E21" i="6"/>
  <c r="G20" i="6"/>
  <c r="E20" i="6"/>
  <c r="G19" i="6"/>
  <c r="E19" i="6"/>
  <c r="G18" i="6"/>
  <c r="E18" i="6"/>
  <c r="C15" i="6"/>
  <c r="C26" i="6" s="1"/>
  <c r="C39" i="6" s="1"/>
  <c r="B15" i="6"/>
  <c r="G14" i="6"/>
  <c r="E14" i="6"/>
  <c r="D11" i="6"/>
  <c r="C11" i="6"/>
  <c r="B11" i="6"/>
  <c r="F10" i="6"/>
  <c r="G10" i="6" s="1"/>
  <c r="E10" i="6"/>
  <c r="G9" i="6"/>
  <c r="F9" i="6"/>
  <c r="E9" i="6"/>
  <c r="E4" i="6"/>
  <c r="F37" i="5"/>
  <c r="C37" i="5"/>
  <c r="F35" i="5"/>
  <c r="E35" i="5"/>
  <c r="D35" i="5"/>
  <c r="C35" i="5"/>
  <c r="B35" i="5"/>
  <c r="B37" i="5" s="1"/>
  <c r="G34" i="5"/>
  <c r="E34" i="5"/>
  <c r="G33" i="5"/>
  <c r="E33" i="5"/>
  <c r="G31" i="5"/>
  <c r="E31" i="5"/>
  <c r="K28" i="5"/>
  <c r="K27" i="5"/>
  <c r="D26" i="5"/>
  <c r="G24" i="5"/>
  <c r="F24" i="5"/>
  <c r="D24" i="5"/>
  <c r="E24" i="5" s="1"/>
  <c r="C24" i="5"/>
  <c r="B24" i="5"/>
  <c r="B26" i="5" s="1"/>
  <c r="G23" i="5"/>
  <c r="E23" i="5"/>
  <c r="G22" i="5"/>
  <c r="E22" i="5"/>
  <c r="G21" i="5"/>
  <c r="E21" i="5"/>
  <c r="G20" i="5"/>
  <c r="E20" i="5"/>
  <c r="G19" i="5"/>
  <c r="E19" i="5"/>
  <c r="G18" i="5"/>
  <c r="E18" i="5"/>
  <c r="J16" i="5"/>
  <c r="L20" i="5" s="1"/>
  <c r="E15" i="5"/>
  <c r="D15" i="5"/>
  <c r="B15" i="5"/>
  <c r="G14" i="5"/>
  <c r="E14" i="5"/>
  <c r="E11" i="5"/>
  <c r="D11" i="5"/>
  <c r="C11" i="5"/>
  <c r="C15" i="5" s="1"/>
  <c r="B11" i="5"/>
  <c r="G10" i="5"/>
  <c r="F10" i="5"/>
  <c r="J28" i="5" s="1"/>
  <c r="E10" i="5"/>
  <c r="F9" i="5"/>
  <c r="E9" i="5"/>
  <c r="N67" i="4"/>
  <c r="O67" i="4" s="1"/>
  <c r="N55" i="4"/>
  <c r="O55" i="4" s="1"/>
  <c r="N51" i="4"/>
  <c r="C42" i="4"/>
  <c r="C58" i="4" s="1"/>
  <c r="N39" i="4"/>
  <c r="N35" i="4"/>
  <c r="C51" i="4"/>
  <c r="C67" i="4" s="1"/>
  <c r="C49" i="4"/>
  <c r="C65" i="4" s="1"/>
  <c r="C45" i="4"/>
  <c r="C61" i="4" s="1"/>
  <c r="C41" i="4"/>
  <c r="C57" i="4" s="1"/>
  <c r="N23" i="4"/>
  <c r="C39" i="4"/>
  <c r="C55" i="4" s="1"/>
  <c r="C50" i="4"/>
  <c r="C66" i="4" s="1"/>
  <c r="C48" i="4"/>
  <c r="C64" i="4" s="1"/>
  <c r="C47" i="4"/>
  <c r="C63" i="4" s="1"/>
  <c r="C46" i="4"/>
  <c r="C62" i="4" s="1"/>
  <c r="C44" i="4"/>
  <c r="C60" i="4" s="1"/>
  <c r="C43" i="4"/>
  <c r="C59" i="4" s="1"/>
  <c r="C40" i="4"/>
  <c r="C56" i="4" s="1"/>
  <c r="N19" i="4"/>
  <c r="N7" i="4"/>
  <c r="G37" i="6" l="1"/>
  <c r="E37" i="6"/>
  <c r="O19" i="4"/>
  <c r="E11" i="6"/>
  <c r="D15" i="6"/>
  <c r="G11" i="6"/>
  <c r="B39" i="5"/>
  <c r="F11" i="6"/>
  <c r="F15" i="6" s="1"/>
  <c r="F26" i="6" s="1"/>
  <c r="O23" i="4" s="1"/>
  <c r="B26" i="6"/>
  <c r="O7" i="4" s="1"/>
  <c r="J17" i="5"/>
  <c r="J18" i="5" s="1"/>
  <c r="K17" i="5"/>
  <c r="K16" i="5"/>
  <c r="L16" i="5" s="1"/>
  <c r="K29" i="5"/>
  <c r="L28" i="5"/>
  <c r="O51" i="4"/>
  <c r="G9" i="5"/>
  <c r="F11" i="5"/>
  <c r="F15" i="5" s="1"/>
  <c r="F26" i="5" s="1"/>
  <c r="G15" i="5"/>
  <c r="G24" i="6"/>
  <c r="B39" i="6"/>
  <c r="G35" i="6"/>
  <c r="C26" i="5"/>
  <c r="C39" i="5" s="1"/>
  <c r="J27" i="5"/>
  <c r="D37" i="5"/>
  <c r="G35" i="5"/>
  <c r="O14" i="2"/>
  <c r="B15" i="2"/>
  <c r="B16" i="2"/>
  <c r="B17" i="2"/>
  <c r="B18" i="2"/>
  <c r="B19" i="2"/>
  <c r="B20" i="2"/>
  <c r="B21" i="2"/>
  <c r="B22" i="2"/>
  <c r="B23" i="2"/>
  <c r="B24" i="2"/>
  <c r="B25" i="2"/>
  <c r="B26" i="2"/>
  <c r="O26" i="2"/>
  <c r="B27" i="2"/>
  <c r="B35" i="2"/>
  <c r="C146" i="2" s="1"/>
  <c r="H35" i="2"/>
  <c r="H37" i="2" s="1"/>
  <c r="H36" i="2"/>
  <c r="B37" i="2"/>
  <c r="B46" i="2" s="1"/>
  <c r="B47" i="2" s="1"/>
  <c r="E37" i="2"/>
  <c r="F37" i="2"/>
  <c r="G37" i="2"/>
  <c r="I37" i="2"/>
  <c r="F46" i="2"/>
  <c r="F47" i="2"/>
  <c r="E108" i="2"/>
  <c r="F108" i="2"/>
  <c r="G108" i="2"/>
  <c r="H108" i="2"/>
  <c r="I108" i="2"/>
  <c r="J108" i="2"/>
  <c r="K108" i="2"/>
  <c r="L108" i="2"/>
  <c r="M108" i="2"/>
  <c r="N108" i="2"/>
  <c r="C147" i="2"/>
  <c r="C150" i="2"/>
  <c r="J184" i="1"/>
  <c r="E184" i="1"/>
  <c r="D184" i="1"/>
  <c r="M143" i="1"/>
  <c r="L143" i="1"/>
  <c r="K143" i="1"/>
  <c r="J143" i="1"/>
  <c r="I143" i="1"/>
  <c r="H143" i="1"/>
  <c r="G143" i="1"/>
  <c r="F143" i="1"/>
  <c r="E143" i="1"/>
  <c r="D143" i="1"/>
  <c r="M142" i="1"/>
  <c r="L142" i="1"/>
  <c r="K142" i="1"/>
  <c r="J142" i="1"/>
  <c r="I142" i="1"/>
  <c r="H142" i="1"/>
  <c r="G142" i="1"/>
  <c r="F142" i="1"/>
  <c r="E142" i="1"/>
  <c r="D142" i="1"/>
  <c r="M141" i="1"/>
  <c r="L141" i="1"/>
  <c r="K141" i="1"/>
  <c r="J141" i="1"/>
  <c r="I141" i="1"/>
  <c r="H141" i="1"/>
  <c r="G141" i="1"/>
  <c r="F141" i="1"/>
  <c r="E141" i="1"/>
  <c r="D141" i="1"/>
  <c r="M140" i="1"/>
  <c r="L140" i="1"/>
  <c r="K140" i="1"/>
  <c r="J140" i="1"/>
  <c r="I140" i="1"/>
  <c r="H140" i="1"/>
  <c r="G140" i="1"/>
  <c r="F140" i="1"/>
  <c r="E140" i="1"/>
  <c r="D140" i="1"/>
  <c r="M139" i="1"/>
  <c r="L139" i="1"/>
  <c r="K139" i="1"/>
  <c r="J139" i="1"/>
  <c r="I139" i="1"/>
  <c r="H139" i="1"/>
  <c r="G139" i="1"/>
  <c r="F139" i="1"/>
  <c r="E139" i="1"/>
  <c r="D139" i="1"/>
  <c r="M138" i="1"/>
  <c r="L138" i="1"/>
  <c r="K138" i="1"/>
  <c r="J138" i="1"/>
  <c r="I138" i="1"/>
  <c r="H138" i="1"/>
  <c r="G138" i="1"/>
  <c r="F138" i="1"/>
  <c r="E138" i="1"/>
  <c r="D138" i="1"/>
  <c r="M137" i="1"/>
  <c r="L137" i="1"/>
  <c r="K137" i="1"/>
  <c r="J137" i="1"/>
  <c r="I137" i="1"/>
  <c r="H137" i="1"/>
  <c r="G137" i="1"/>
  <c r="F137" i="1"/>
  <c r="E137" i="1"/>
  <c r="D137" i="1"/>
  <c r="M136" i="1"/>
  <c r="L136" i="1"/>
  <c r="K136" i="1"/>
  <c r="J136" i="1"/>
  <c r="I136" i="1"/>
  <c r="H136" i="1"/>
  <c r="G136" i="1"/>
  <c r="F136" i="1"/>
  <c r="E136" i="1"/>
  <c r="D136" i="1"/>
  <c r="M135" i="1"/>
  <c r="L135" i="1"/>
  <c r="K135" i="1"/>
  <c r="J135" i="1"/>
  <c r="I135" i="1"/>
  <c r="H135" i="1"/>
  <c r="G135" i="1"/>
  <c r="F135" i="1"/>
  <c r="E135" i="1"/>
  <c r="D135" i="1"/>
  <c r="M134" i="1"/>
  <c r="L134" i="1"/>
  <c r="K134" i="1"/>
  <c r="J134" i="1"/>
  <c r="I134" i="1"/>
  <c r="H134" i="1"/>
  <c r="G134" i="1"/>
  <c r="F134" i="1"/>
  <c r="E134" i="1"/>
  <c r="D134" i="1"/>
  <c r="M133" i="1"/>
  <c r="L133" i="1"/>
  <c r="K133" i="1"/>
  <c r="J133" i="1"/>
  <c r="I133" i="1"/>
  <c r="H133" i="1"/>
  <c r="G133" i="1"/>
  <c r="F133" i="1"/>
  <c r="E133" i="1"/>
  <c r="D133" i="1"/>
  <c r="M132" i="1"/>
  <c r="L132" i="1"/>
  <c r="K132" i="1"/>
  <c r="J132" i="1"/>
  <c r="I132" i="1"/>
  <c r="H132" i="1"/>
  <c r="G132" i="1"/>
  <c r="F132" i="1"/>
  <c r="E132" i="1"/>
  <c r="D132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E105" i="1"/>
  <c r="D105" i="1"/>
  <c r="M104" i="1"/>
  <c r="L104" i="1"/>
  <c r="K104" i="1"/>
  <c r="J104" i="1"/>
  <c r="I104" i="1"/>
  <c r="H104" i="1"/>
  <c r="G104" i="1"/>
  <c r="F104" i="1"/>
  <c r="E104" i="1"/>
  <c r="D104" i="1"/>
  <c r="M103" i="1"/>
  <c r="L103" i="1"/>
  <c r="K103" i="1"/>
  <c r="J103" i="1"/>
  <c r="I103" i="1"/>
  <c r="H103" i="1"/>
  <c r="G103" i="1"/>
  <c r="F103" i="1"/>
  <c r="E103" i="1"/>
  <c r="D103" i="1"/>
  <c r="M102" i="1"/>
  <c r="L102" i="1"/>
  <c r="K102" i="1"/>
  <c r="J102" i="1"/>
  <c r="I102" i="1"/>
  <c r="H102" i="1"/>
  <c r="G102" i="1"/>
  <c r="F102" i="1"/>
  <c r="E102" i="1"/>
  <c r="D102" i="1"/>
  <c r="M101" i="1"/>
  <c r="L101" i="1"/>
  <c r="K101" i="1"/>
  <c r="J101" i="1"/>
  <c r="I101" i="1"/>
  <c r="H101" i="1"/>
  <c r="G101" i="1"/>
  <c r="F101" i="1"/>
  <c r="E101" i="1"/>
  <c r="D101" i="1"/>
  <c r="M100" i="1"/>
  <c r="L100" i="1"/>
  <c r="K100" i="1"/>
  <c r="J100" i="1"/>
  <c r="I100" i="1"/>
  <c r="H100" i="1"/>
  <c r="G100" i="1"/>
  <c r="F100" i="1"/>
  <c r="E100" i="1"/>
  <c r="D100" i="1"/>
  <c r="M99" i="1"/>
  <c r="L99" i="1"/>
  <c r="K99" i="1"/>
  <c r="J99" i="1"/>
  <c r="I99" i="1"/>
  <c r="H99" i="1"/>
  <c r="G99" i="1"/>
  <c r="F99" i="1"/>
  <c r="E99" i="1"/>
  <c r="D99" i="1"/>
  <c r="M98" i="1"/>
  <c r="L98" i="1"/>
  <c r="K98" i="1"/>
  <c r="J98" i="1"/>
  <c r="I98" i="1"/>
  <c r="H98" i="1"/>
  <c r="G98" i="1"/>
  <c r="F98" i="1"/>
  <c r="E98" i="1"/>
  <c r="D98" i="1"/>
  <c r="M97" i="1"/>
  <c r="L97" i="1"/>
  <c r="K97" i="1"/>
  <c r="J97" i="1"/>
  <c r="I97" i="1"/>
  <c r="H97" i="1"/>
  <c r="G97" i="1"/>
  <c r="F97" i="1"/>
  <c r="E97" i="1"/>
  <c r="D97" i="1"/>
  <c r="M96" i="1"/>
  <c r="L96" i="1"/>
  <c r="K96" i="1"/>
  <c r="J96" i="1"/>
  <c r="I96" i="1"/>
  <c r="H96" i="1"/>
  <c r="G96" i="1"/>
  <c r="F96" i="1"/>
  <c r="E96" i="1"/>
  <c r="D96" i="1"/>
  <c r="M95" i="1"/>
  <c r="L95" i="1"/>
  <c r="K95" i="1"/>
  <c r="J95" i="1"/>
  <c r="I95" i="1"/>
  <c r="H95" i="1"/>
  <c r="G95" i="1"/>
  <c r="F95" i="1"/>
  <c r="E95" i="1"/>
  <c r="D95" i="1"/>
  <c r="M94" i="1"/>
  <c r="L94" i="1"/>
  <c r="K94" i="1"/>
  <c r="J94" i="1"/>
  <c r="I94" i="1"/>
  <c r="H94" i="1"/>
  <c r="G94" i="1"/>
  <c r="F94" i="1"/>
  <c r="E94" i="1"/>
  <c r="D94" i="1"/>
  <c r="M105" i="1"/>
  <c r="L105" i="1"/>
  <c r="L162" i="1" s="1"/>
  <c r="K105" i="1"/>
  <c r="J105" i="1"/>
  <c r="I105" i="1"/>
  <c r="H105" i="1"/>
  <c r="H162" i="1" s="1"/>
  <c r="G105" i="1"/>
  <c r="F105" i="1"/>
  <c r="N86" i="1"/>
  <c r="N85" i="1"/>
  <c r="N84" i="1"/>
  <c r="N83" i="1"/>
  <c r="N82" i="1"/>
  <c r="N81" i="1"/>
  <c r="N80" i="1"/>
  <c r="N79" i="1"/>
  <c r="N78" i="1"/>
  <c r="N77" i="1"/>
  <c r="N76" i="1"/>
  <c r="N75" i="1"/>
  <c r="I55" i="1"/>
  <c r="G63" i="1" s="1"/>
  <c r="G65" i="1" s="1"/>
  <c r="I54" i="1"/>
  <c r="F38" i="1"/>
  <c r="E38" i="1"/>
  <c r="D38" i="1"/>
  <c r="G37" i="1"/>
  <c r="C37" i="1"/>
  <c r="G36" i="1"/>
  <c r="C36" i="1"/>
  <c r="M184" i="1"/>
  <c r="L184" i="1"/>
  <c r="K184" i="1"/>
  <c r="I184" i="1"/>
  <c r="H184" i="1"/>
  <c r="G184" i="1"/>
  <c r="F184" i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N13" i="1"/>
  <c r="F151" i="1" l="1"/>
  <c r="J151" i="1"/>
  <c r="D152" i="1"/>
  <c r="H152" i="1"/>
  <c r="L152" i="1"/>
  <c r="J153" i="1"/>
  <c r="D154" i="1"/>
  <c r="H154" i="1"/>
  <c r="L154" i="1"/>
  <c r="F155" i="1"/>
  <c r="J155" i="1"/>
  <c r="D156" i="1"/>
  <c r="H156" i="1"/>
  <c r="L156" i="1"/>
  <c r="D158" i="1"/>
  <c r="H158" i="1"/>
  <c r="L158" i="1"/>
  <c r="D160" i="1"/>
  <c r="H160" i="1"/>
  <c r="L160" i="1"/>
  <c r="D162" i="1"/>
  <c r="J162" i="1"/>
  <c r="F152" i="1"/>
  <c r="J152" i="1"/>
  <c r="H153" i="1"/>
  <c r="F154" i="1"/>
  <c r="J154" i="1"/>
  <c r="F156" i="1"/>
  <c r="J156" i="1"/>
  <c r="D157" i="1"/>
  <c r="H157" i="1"/>
  <c r="L157" i="1"/>
  <c r="F158" i="1"/>
  <c r="J158" i="1"/>
  <c r="D159" i="1"/>
  <c r="L159" i="1"/>
  <c r="F160" i="1"/>
  <c r="J160" i="1"/>
  <c r="D161" i="1"/>
  <c r="H161" i="1"/>
  <c r="L161" i="1"/>
  <c r="E144" i="1"/>
  <c r="E188" i="1" s="1"/>
  <c r="E192" i="1" s="1"/>
  <c r="I144" i="1"/>
  <c r="I188" i="1" s="1"/>
  <c r="M144" i="1"/>
  <c r="M188" i="1" s="1"/>
  <c r="M192" i="1" s="1"/>
  <c r="I162" i="1"/>
  <c r="M162" i="1"/>
  <c r="G151" i="1"/>
  <c r="K151" i="1"/>
  <c r="E152" i="1"/>
  <c r="I152" i="1"/>
  <c r="M152" i="1"/>
  <c r="G153" i="1"/>
  <c r="K153" i="1"/>
  <c r="E154" i="1"/>
  <c r="I154" i="1"/>
  <c r="M154" i="1"/>
  <c r="G155" i="1"/>
  <c r="K155" i="1"/>
  <c r="E156" i="1"/>
  <c r="I156" i="1"/>
  <c r="M156" i="1"/>
  <c r="G157" i="1"/>
  <c r="K157" i="1"/>
  <c r="E158" i="1"/>
  <c r="I158" i="1"/>
  <c r="M158" i="1"/>
  <c r="G159" i="1"/>
  <c r="K159" i="1"/>
  <c r="E160" i="1"/>
  <c r="I160" i="1"/>
  <c r="M160" i="1"/>
  <c r="G161" i="1"/>
  <c r="K161" i="1"/>
  <c r="E162" i="1"/>
  <c r="I192" i="1"/>
  <c r="N135" i="1"/>
  <c r="N139" i="1"/>
  <c r="N143" i="1"/>
  <c r="G38" i="1"/>
  <c r="G144" i="1"/>
  <c r="G188" i="1" s="1"/>
  <c r="G192" i="1" s="1"/>
  <c r="K144" i="1"/>
  <c r="K188" i="1" s="1"/>
  <c r="K192" i="1" s="1"/>
  <c r="G162" i="1"/>
  <c r="K162" i="1"/>
  <c r="E106" i="1"/>
  <c r="I106" i="1"/>
  <c r="M106" i="1"/>
  <c r="G152" i="1"/>
  <c r="K152" i="1"/>
  <c r="E153" i="1"/>
  <c r="I153" i="1"/>
  <c r="M153" i="1"/>
  <c r="G154" i="1"/>
  <c r="K154" i="1"/>
  <c r="E155" i="1"/>
  <c r="I155" i="1"/>
  <c r="M155" i="1"/>
  <c r="G156" i="1"/>
  <c r="K156" i="1"/>
  <c r="E157" i="1"/>
  <c r="I157" i="1"/>
  <c r="M157" i="1"/>
  <c r="G158" i="1"/>
  <c r="K158" i="1"/>
  <c r="E159" i="1"/>
  <c r="I159" i="1"/>
  <c r="M159" i="1"/>
  <c r="G160" i="1"/>
  <c r="K160" i="1"/>
  <c r="E161" i="1"/>
  <c r="I161" i="1"/>
  <c r="M161" i="1"/>
  <c r="H144" i="1"/>
  <c r="H188" i="1" s="1"/>
  <c r="H192" i="1" s="1"/>
  <c r="L155" i="1"/>
  <c r="N140" i="1"/>
  <c r="H159" i="1"/>
  <c r="O35" i="4"/>
  <c r="G26" i="5"/>
  <c r="F39" i="5"/>
  <c r="G37" i="5"/>
  <c r="E37" i="5"/>
  <c r="D39" i="5"/>
  <c r="L31" i="5"/>
  <c r="J29" i="5"/>
  <c r="K18" i="5"/>
  <c r="L17" i="5"/>
  <c r="L18" i="5" s="1"/>
  <c r="L21" i="5" s="1"/>
  <c r="L22" i="5" s="1"/>
  <c r="E15" i="6"/>
  <c r="G15" i="6"/>
  <c r="D26" i="6"/>
  <c r="G11" i="5"/>
  <c r="E26" i="5"/>
  <c r="F39" i="6"/>
  <c r="L27" i="5"/>
  <c r="L29" i="5" s="1"/>
  <c r="L32" i="5" s="1"/>
  <c r="N96" i="1"/>
  <c r="D106" i="1"/>
  <c r="N98" i="1"/>
  <c r="B48" i="2"/>
  <c r="H60" i="2"/>
  <c r="I48" i="2"/>
  <c r="O108" i="2"/>
  <c r="O72" i="2"/>
  <c r="F48" i="2"/>
  <c r="G53" i="2" s="1"/>
  <c r="G55" i="2" s="1"/>
  <c r="G60" i="2"/>
  <c r="G62" i="2" s="1"/>
  <c r="F162" i="1"/>
  <c r="N105" i="1"/>
  <c r="H106" i="1"/>
  <c r="L106" i="1"/>
  <c r="C232" i="1"/>
  <c r="B26" i="1"/>
  <c r="N87" i="1"/>
  <c r="J106" i="1"/>
  <c r="N95" i="1"/>
  <c r="N99" i="1"/>
  <c r="N103" i="1"/>
  <c r="F106" i="1"/>
  <c r="N132" i="1"/>
  <c r="N136" i="1"/>
  <c r="D151" i="1"/>
  <c r="L151" i="1"/>
  <c r="D153" i="1"/>
  <c r="L153" i="1"/>
  <c r="D155" i="1"/>
  <c r="N94" i="1"/>
  <c r="F159" i="1"/>
  <c r="J159" i="1"/>
  <c r="N102" i="1"/>
  <c r="J144" i="1"/>
  <c r="J188" i="1" s="1"/>
  <c r="J192" i="1" s="1"/>
  <c r="F153" i="1"/>
  <c r="N97" i="1"/>
  <c r="N101" i="1"/>
  <c r="N134" i="1"/>
  <c r="N138" i="1"/>
  <c r="N142" i="1"/>
  <c r="D144" i="1"/>
  <c r="D188" i="1" s="1"/>
  <c r="D192" i="1" s="1"/>
  <c r="L144" i="1"/>
  <c r="L188" i="1" s="1"/>
  <c r="L192" i="1" s="1"/>
  <c r="H151" i="1"/>
  <c r="H155" i="1"/>
  <c r="G58" i="1"/>
  <c r="G60" i="1" s="1"/>
  <c r="F157" i="1"/>
  <c r="J157" i="1"/>
  <c r="N100" i="1"/>
  <c r="F161" i="1"/>
  <c r="J161" i="1"/>
  <c r="N104" i="1"/>
  <c r="N133" i="1"/>
  <c r="N137" i="1"/>
  <c r="N141" i="1"/>
  <c r="F144" i="1"/>
  <c r="F188" i="1" s="1"/>
  <c r="F192" i="1" s="1"/>
  <c r="G106" i="1"/>
  <c r="K106" i="1"/>
  <c r="E151" i="1"/>
  <c r="I151" i="1"/>
  <c r="M151" i="1"/>
  <c r="N25" i="1"/>
  <c r="N152" i="1" l="1"/>
  <c r="N162" i="1"/>
  <c r="N160" i="1"/>
  <c r="N154" i="1"/>
  <c r="K163" i="1"/>
  <c r="K172" i="1" s="1"/>
  <c r="N158" i="1"/>
  <c r="G163" i="1"/>
  <c r="G168" i="1" s="1"/>
  <c r="N156" i="1"/>
  <c r="K171" i="1"/>
  <c r="J163" i="1"/>
  <c r="J172" i="1" s="1"/>
  <c r="E26" i="6"/>
  <c r="G26" i="6"/>
  <c r="O39" i="4"/>
  <c r="D39" i="6"/>
  <c r="L33" i="5"/>
  <c r="L35" i="5" s="1"/>
  <c r="G39" i="5"/>
  <c r="E39" i="5"/>
  <c r="N106" i="1"/>
  <c r="G173" i="1"/>
  <c r="H53" i="2"/>
  <c r="B53" i="2"/>
  <c r="E163" i="1"/>
  <c r="E168" i="1" s="1"/>
  <c r="M163" i="1"/>
  <c r="L163" i="1"/>
  <c r="L170" i="1" s="1"/>
  <c r="N144" i="1"/>
  <c r="N188" i="1" s="1"/>
  <c r="N157" i="1"/>
  <c r="N184" i="1"/>
  <c r="E45" i="1"/>
  <c r="I163" i="1"/>
  <c r="I168" i="1" s="1"/>
  <c r="G175" i="1"/>
  <c r="H163" i="1"/>
  <c r="H172" i="1" s="1"/>
  <c r="N155" i="1"/>
  <c r="D163" i="1"/>
  <c r="D172" i="1" s="1"/>
  <c r="N151" i="1"/>
  <c r="F163" i="1"/>
  <c r="F179" i="1" s="1"/>
  <c r="B36" i="1"/>
  <c r="N161" i="1"/>
  <c r="N159" i="1"/>
  <c r="N153" i="1"/>
  <c r="J179" i="1" l="1"/>
  <c r="K177" i="1"/>
  <c r="L100" i="2" s="1"/>
  <c r="J178" i="1"/>
  <c r="J168" i="1"/>
  <c r="K91" i="2" s="1"/>
  <c r="J175" i="1"/>
  <c r="J205" i="1" s="1"/>
  <c r="L200" i="1"/>
  <c r="M93" i="2"/>
  <c r="H202" i="1"/>
  <c r="I95" i="2"/>
  <c r="E198" i="1"/>
  <c r="F91" i="2"/>
  <c r="J209" i="1"/>
  <c r="K102" i="2"/>
  <c r="K179" i="1"/>
  <c r="J202" i="1"/>
  <c r="K95" i="2"/>
  <c r="K173" i="1"/>
  <c r="J173" i="1"/>
  <c r="F209" i="1"/>
  <c r="G102" i="2"/>
  <c r="D202" i="1"/>
  <c r="E95" i="2"/>
  <c r="K175" i="1"/>
  <c r="J169" i="1"/>
  <c r="J176" i="1"/>
  <c r="K174" i="1"/>
  <c r="G198" i="1"/>
  <c r="G14" i="1" s="1"/>
  <c r="F13" i="10" s="1"/>
  <c r="F50" i="10" s="1"/>
  <c r="H91" i="2"/>
  <c r="K207" i="1"/>
  <c r="K201" i="1"/>
  <c r="L94" i="2"/>
  <c r="K202" i="1"/>
  <c r="L95" i="2"/>
  <c r="J208" i="1"/>
  <c r="K101" i="2"/>
  <c r="G205" i="1"/>
  <c r="H98" i="2"/>
  <c r="K169" i="1"/>
  <c r="K176" i="1"/>
  <c r="K168" i="1"/>
  <c r="I198" i="1"/>
  <c r="I14" i="1" s="1"/>
  <c r="H13" i="10" s="1"/>
  <c r="H50" i="10" s="1"/>
  <c r="J91" i="2"/>
  <c r="G203" i="1"/>
  <c r="H96" i="2"/>
  <c r="J177" i="1"/>
  <c r="K178" i="1"/>
  <c r="G171" i="1"/>
  <c r="G179" i="1"/>
  <c r="G170" i="1"/>
  <c r="G169" i="1"/>
  <c r="G178" i="1"/>
  <c r="G174" i="1"/>
  <c r="G172" i="1"/>
  <c r="G177" i="1"/>
  <c r="J174" i="1"/>
  <c r="J171" i="1"/>
  <c r="J170" i="1"/>
  <c r="K170" i="1"/>
  <c r="G176" i="1"/>
  <c r="E39" i="6"/>
  <c r="G39" i="6"/>
  <c r="B54" i="2"/>
  <c r="B55" i="2" s="1"/>
  <c r="B60" i="2" s="1"/>
  <c r="H55" i="2"/>
  <c r="E14" i="1"/>
  <c r="D13" i="10" s="1"/>
  <c r="D50" i="10" s="1"/>
  <c r="F171" i="1"/>
  <c r="F172" i="1"/>
  <c r="F177" i="1"/>
  <c r="F175" i="1"/>
  <c r="F173" i="1"/>
  <c r="F169" i="1"/>
  <c r="F168" i="1"/>
  <c r="H179" i="1"/>
  <c r="H169" i="1"/>
  <c r="H173" i="1"/>
  <c r="H175" i="1"/>
  <c r="H176" i="1"/>
  <c r="H171" i="1"/>
  <c r="H177" i="1"/>
  <c r="H170" i="1"/>
  <c r="H174" i="1"/>
  <c r="H178" i="1"/>
  <c r="L176" i="1"/>
  <c r="L177" i="1"/>
  <c r="L175" i="1"/>
  <c r="L172" i="1"/>
  <c r="L174" i="1"/>
  <c r="L179" i="1"/>
  <c r="L169" i="1"/>
  <c r="L173" i="1"/>
  <c r="L171" i="1"/>
  <c r="L178" i="1"/>
  <c r="M172" i="1"/>
  <c r="M179" i="1"/>
  <c r="M171" i="1"/>
  <c r="M169" i="1"/>
  <c r="M175" i="1"/>
  <c r="M177" i="1"/>
  <c r="M170" i="1"/>
  <c r="M173" i="1"/>
  <c r="M174" i="1"/>
  <c r="M176" i="1"/>
  <c r="M178" i="1"/>
  <c r="D170" i="1"/>
  <c r="N163" i="1"/>
  <c r="H168" i="1"/>
  <c r="N192" i="1"/>
  <c r="M168" i="1"/>
  <c r="E172" i="1"/>
  <c r="E173" i="1"/>
  <c r="E171" i="1"/>
  <c r="E170" i="1"/>
  <c r="E174" i="1"/>
  <c r="E176" i="1"/>
  <c r="E179" i="1"/>
  <c r="E169" i="1"/>
  <c r="E175" i="1"/>
  <c r="E177" i="1"/>
  <c r="E178" i="1"/>
  <c r="C223" i="1"/>
  <c r="B37" i="1"/>
  <c r="D174" i="1"/>
  <c r="D171" i="1"/>
  <c r="D178" i="1"/>
  <c r="D177" i="1"/>
  <c r="D179" i="1"/>
  <c r="D169" i="1"/>
  <c r="D173" i="1"/>
  <c r="D176" i="1"/>
  <c r="D175" i="1"/>
  <c r="F174" i="1"/>
  <c r="F170" i="1"/>
  <c r="D168" i="1"/>
  <c r="F176" i="1"/>
  <c r="I177" i="1"/>
  <c r="I176" i="1"/>
  <c r="I175" i="1"/>
  <c r="I170" i="1"/>
  <c r="I178" i="1"/>
  <c r="I172" i="1"/>
  <c r="I179" i="1"/>
  <c r="I171" i="1"/>
  <c r="I169" i="1"/>
  <c r="I173" i="1"/>
  <c r="I174" i="1"/>
  <c r="L168" i="1"/>
  <c r="F178" i="1"/>
  <c r="K98" i="2" l="1"/>
  <c r="J198" i="1"/>
  <c r="J14" i="1" s="1"/>
  <c r="J73" i="2"/>
  <c r="I199" i="1"/>
  <c r="I15" i="1" s="1"/>
  <c r="J92" i="2"/>
  <c r="I208" i="1"/>
  <c r="J101" i="2"/>
  <c r="F204" i="1"/>
  <c r="G97" i="2"/>
  <c r="D208" i="1"/>
  <c r="E101" i="2"/>
  <c r="E209" i="1"/>
  <c r="F102" i="2"/>
  <c r="M208" i="1"/>
  <c r="N101" i="2"/>
  <c r="M201" i="1"/>
  <c r="N94" i="2"/>
  <c r="L201" i="1"/>
  <c r="M94" i="2"/>
  <c r="L206" i="1"/>
  <c r="M99" i="2"/>
  <c r="H207" i="1"/>
  <c r="I100" i="2"/>
  <c r="F198" i="1"/>
  <c r="F14" i="1" s="1"/>
  <c r="E13" i="10" s="1"/>
  <c r="E50" i="10" s="1"/>
  <c r="G91" i="2"/>
  <c r="F207" i="1"/>
  <c r="G100" i="2"/>
  <c r="J200" i="1"/>
  <c r="K93" i="2"/>
  <c r="G202" i="1"/>
  <c r="H95" i="2"/>
  <c r="G200" i="1"/>
  <c r="H93" i="2"/>
  <c r="J207" i="1"/>
  <c r="K100" i="2"/>
  <c r="K204" i="1"/>
  <c r="L97" i="2"/>
  <c r="J203" i="1"/>
  <c r="K96" i="2"/>
  <c r="K209" i="1"/>
  <c r="L102" i="2"/>
  <c r="L198" i="1"/>
  <c r="M91" i="2"/>
  <c r="I201" i="1"/>
  <c r="J94" i="2"/>
  <c r="I200" i="1"/>
  <c r="J93" i="2"/>
  <c r="F206" i="1"/>
  <c r="G99" i="2"/>
  <c r="D199" i="1"/>
  <c r="N199" i="1" s="1"/>
  <c r="E92" i="2"/>
  <c r="D201" i="1"/>
  <c r="E94" i="2"/>
  <c r="E207" i="1"/>
  <c r="F100" i="2"/>
  <c r="E206" i="1"/>
  <c r="F99" i="2"/>
  <c r="E203" i="1"/>
  <c r="F96" i="2"/>
  <c r="H198" i="1"/>
  <c r="H14" i="1" s="1"/>
  <c r="I91" i="2"/>
  <c r="M206" i="1"/>
  <c r="N99" i="2"/>
  <c r="M207" i="1"/>
  <c r="N100" i="2"/>
  <c r="M209" i="1"/>
  <c r="N102" i="2"/>
  <c r="L203" i="1"/>
  <c r="M96" i="2"/>
  <c r="L202" i="1"/>
  <c r="M95" i="2"/>
  <c r="H208" i="1"/>
  <c r="I101" i="2"/>
  <c r="H201" i="1"/>
  <c r="I94" i="2"/>
  <c r="H199" i="1"/>
  <c r="I92" i="2"/>
  <c r="F199" i="1"/>
  <c r="G92" i="2"/>
  <c r="F202" i="1"/>
  <c r="G95" i="2"/>
  <c r="J201" i="1"/>
  <c r="K94" i="2"/>
  <c r="G204" i="1"/>
  <c r="H97" i="2"/>
  <c r="G209" i="1"/>
  <c r="H102" i="2"/>
  <c r="K198" i="1"/>
  <c r="L91" i="2"/>
  <c r="J206" i="1"/>
  <c r="K99" i="2"/>
  <c r="K203" i="1"/>
  <c r="L96" i="2"/>
  <c r="I204" i="1"/>
  <c r="J97" i="2"/>
  <c r="I209" i="1"/>
  <c r="J102" i="2"/>
  <c r="I205" i="1"/>
  <c r="J98" i="2"/>
  <c r="D198" i="1"/>
  <c r="E91" i="2"/>
  <c r="D205" i="1"/>
  <c r="E98" i="2"/>
  <c r="D209" i="1"/>
  <c r="E102" i="2"/>
  <c r="D204" i="1"/>
  <c r="E97" i="2"/>
  <c r="E205" i="1"/>
  <c r="F98" i="2"/>
  <c r="E204" i="1"/>
  <c r="F97" i="2"/>
  <c r="E202" i="1"/>
  <c r="F95" i="2"/>
  <c r="M204" i="1"/>
  <c r="N97" i="2"/>
  <c r="M205" i="1"/>
  <c r="N98" i="2"/>
  <c r="M202" i="1"/>
  <c r="N95" i="2"/>
  <c r="L199" i="1"/>
  <c r="M92" i="2"/>
  <c r="L205" i="1"/>
  <c r="M98" i="2"/>
  <c r="H204" i="1"/>
  <c r="I97" i="2"/>
  <c r="H206" i="1"/>
  <c r="I99" i="2"/>
  <c r="H209" i="1"/>
  <c r="I102" i="2"/>
  <c r="F203" i="1"/>
  <c r="G96" i="2"/>
  <c r="F201" i="1"/>
  <c r="G94" i="2"/>
  <c r="G206" i="1"/>
  <c r="H99" i="2"/>
  <c r="J204" i="1"/>
  <c r="K97" i="2"/>
  <c r="G208" i="1"/>
  <c r="H101" i="2"/>
  <c r="G201" i="1"/>
  <c r="H94" i="2"/>
  <c r="K206" i="1"/>
  <c r="L99" i="2"/>
  <c r="J199" i="1"/>
  <c r="K92" i="2"/>
  <c r="F208" i="1"/>
  <c r="G101" i="2"/>
  <c r="I207" i="1"/>
  <c r="J100" i="2"/>
  <c r="D203" i="1"/>
  <c r="N203" i="1" s="1"/>
  <c r="E96" i="2"/>
  <c r="E208" i="1"/>
  <c r="F101" i="2"/>
  <c r="E201" i="1"/>
  <c r="F94" i="2"/>
  <c r="M200" i="1"/>
  <c r="N93" i="2"/>
  <c r="L204" i="1"/>
  <c r="M97" i="2"/>
  <c r="H203" i="1"/>
  <c r="I96" i="2"/>
  <c r="I203" i="1"/>
  <c r="J96" i="2"/>
  <c r="I202" i="1"/>
  <c r="J95" i="2"/>
  <c r="I206" i="1"/>
  <c r="J99" i="2"/>
  <c r="F200" i="1"/>
  <c r="G93" i="2"/>
  <c r="D206" i="1"/>
  <c r="E99" i="2"/>
  <c r="D207" i="1"/>
  <c r="E100" i="2"/>
  <c r="I13" i="10"/>
  <c r="I50" i="10" s="1"/>
  <c r="E199" i="1"/>
  <c r="E15" i="1" s="1"/>
  <c r="D14" i="10" s="1"/>
  <c r="D51" i="10" s="1"/>
  <c r="F74" i="2" s="1"/>
  <c r="F92" i="2"/>
  <c r="E200" i="1"/>
  <c r="F93" i="2"/>
  <c r="M198" i="1"/>
  <c r="N91" i="2"/>
  <c r="D200" i="1"/>
  <c r="E93" i="2"/>
  <c r="M203" i="1"/>
  <c r="N96" i="2"/>
  <c r="M199" i="1"/>
  <c r="N92" i="2"/>
  <c r="L208" i="1"/>
  <c r="M101" i="2"/>
  <c r="L209" i="1"/>
  <c r="M102" i="2"/>
  <c r="L207" i="1"/>
  <c r="M100" i="2"/>
  <c r="H200" i="1"/>
  <c r="I93" i="2"/>
  <c r="H205" i="1"/>
  <c r="I98" i="2"/>
  <c r="F205" i="1"/>
  <c r="G98" i="2"/>
  <c r="F73" i="2"/>
  <c r="K200" i="1"/>
  <c r="L93" i="2"/>
  <c r="G207" i="1"/>
  <c r="H100" i="2"/>
  <c r="G199" i="1"/>
  <c r="G15" i="1" s="1"/>
  <c r="F14" i="10" s="1"/>
  <c r="F51" i="10" s="1"/>
  <c r="H74" i="2" s="1"/>
  <c r="H92" i="2"/>
  <c r="K208" i="1"/>
  <c r="L101" i="2"/>
  <c r="K199" i="1"/>
  <c r="L92" i="2"/>
  <c r="H73" i="2"/>
  <c r="K205" i="1"/>
  <c r="L98" i="2"/>
  <c r="H62" i="2"/>
  <c r="B61" i="2"/>
  <c r="B62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C224" i="1"/>
  <c r="B38" i="1"/>
  <c r="F45" i="1"/>
  <c r="M14" i="1"/>
  <c r="D14" i="1"/>
  <c r="C13" i="10" s="1"/>
  <c r="F210" i="1" l="1"/>
  <c r="I210" i="1"/>
  <c r="J15" i="1"/>
  <c r="N209" i="1"/>
  <c r="N200" i="1"/>
  <c r="H210" i="1"/>
  <c r="M210" i="1"/>
  <c r="D210" i="1"/>
  <c r="E16" i="1"/>
  <c r="D15" i="10" s="1"/>
  <c r="D52" i="10" s="1"/>
  <c r="N206" i="1"/>
  <c r="N205" i="1"/>
  <c r="N201" i="1"/>
  <c r="N204" i="1"/>
  <c r="N207" i="1"/>
  <c r="L210" i="1"/>
  <c r="N202" i="1"/>
  <c r="N208" i="1"/>
  <c r="E17" i="1"/>
  <c r="H15" i="1"/>
  <c r="G13" i="10"/>
  <c r="G50" i="10" s="1"/>
  <c r="G73" i="2"/>
  <c r="C50" i="10"/>
  <c r="I16" i="1"/>
  <c r="H14" i="10"/>
  <c r="H51" i="10" s="1"/>
  <c r="M15" i="1"/>
  <c r="L13" i="10"/>
  <c r="L50" i="10" s="1"/>
  <c r="N198" i="1"/>
  <c r="E210" i="1"/>
  <c r="L14" i="1"/>
  <c r="K14" i="1"/>
  <c r="J13" i="10" s="1"/>
  <c r="J50" i="10" s="1"/>
  <c r="K210" i="1"/>
  <c r="G210" i="1"/>
  <c r="G16" i="1"/>
  <c r="K73" i="2"/>
  <c r="J16" i="1"/>
  <c r="I15" i="10" s="1"/>
  <c r="I52" i="10" s="1"/>
  <c r="K75" i="2" s="1"/>
  <c r="I14" i="10"/>
  <c r="I51" i="10" s="1"/>
  <c r="K74" i="2" s="1"/>
  <c r="J210" i="1"/>
  <c r="B91" i="2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8" i="2" s="1"/>
  <c r="C151" i="2"/>
  <c r="B44" i="1"/>
  <c r="B45" i="1" s="1"/>
  <c r="B54" i="1" s="1"/>
  <c r="F44" i="1"/>
  <c r="D15" i="1"/>
  <c r="C14" i="10" s="1"/>
  <c r="F15" i="1"/>
  <c r="N210" i="1" l="1"/>
  <c r="N14" i="1"/>
  <c r="K15" i="1"/>
  <c r="L15" i="1"/>
  <c r="N15" i="1" s="1"/>
  <c r="K13" i="10"/>
  <c r="N73" i="2"/>
  <c r="J17" i="1"/>
  <c r="L73" i="2"/>
  <c r="M16" i="1"/>
  <c r="L14" i="10"/>
  <c r="L51" i="10" s="1"/>
  <c r="N74" i="2" s="1"/>
  <c r="E73" i="2"/>
  <c r="F75" i="2"/>
  <c r="F16" i="1"/>
  <c r="E14" i="10"/>
  <c r="E51" i="10" s="1"/>
  <c r="C51" i="10"/>
  <c r="I17" i="1"/>
  <c r="H15" i="10"/>
  <c r="H52" i="10" s="1"/>
  <c r="J75" i="2" s="1"/>
  <c r="H16" i="1"/>
  <c r="G14" i="10"/>
  <c r="G51" i="10" s="1"/>
  <c r="I74" i="2" s="1"/>
  <c r="F15" i="10"/>
  <c r="F52" i="10" s="1"/>
  <c r="G17" i="1"/>
  <c r="J74" i="2"/>
  <c r="K16" i="1"/>
  <c r="J14" i="10"/>
  <c r="J51" i="10" s="1"/>
  <c r="L74" i="2" s="1"/>
  <c r="I73" i="2"/>
  <c r="E18" i="1"/>
  <c r="D16" i="10"/>
  <c r="D53" i="10" s="1"/>
  <c r="F76" i="2" s="1"/>
  <c r="B111" i="2"/>
  <c r="B114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D16" i="1"/>
  <c r="C15" i="10" s="1"/>
  <c r="B55" i="1"/>
  <c r="H58" i="1" s="1"/>
  <c r="G18" i="1" l="1"/>
  <c r="F16" i="10"/>
  <c r="F53" i="10" s="1"/>
  <c r="H76" i="2" s="1"/>
  <c r="H17" i="1"/>
  <c r="G15" i="10"/>
  <c r="G52" i="10" s="1"/>
  <c r="I75" i="2" s="1"/>
  <c r="E74" i="2"/>
  <c r="E19" i="1"/>
  <c r="D17" i="10"/>
  <c r="D54" i="10" s="1"/>
  <c r="K17" i="1"/>
  <c r="J15" i="10"/>
  <c r="J52" i="10" s="1"/>
  <c r="H75" i="2"/>
  <c r="G74" i="2"/>
  <c r="K50" i="10"/>
  <c r="M13" i="10"/>
  <c r="C52" i="10"/>
  <c r="I18" i="1"/>
  <c r="H16" i="10"/>
  <c r="H53" i="10" s="1"/>
  <c r="F17" i="1"/>
  <c r="E15" i="10"/>
  <c r="E52" i="10" s="1"/>
  <c r="G75" i="2" s="1"/>
  <c r="M17" i="1"/>
  <c r="L15" i="10"/>
  <c r="L52" i="10" s="1"/>
  <c r="J18" i="1"/>
  <c r="I16" i="10"/>
  <c r="I53" i="10" s="1"/>
  <c r="L16" i="1"/>
  <c r="N16" i="1" s="1"/>
  <c r="K14" i="10"/>
  <c r="C152" i="2"/>
  <c r="D17" i="1"/>
  <c r="C16" i="10" s="1"/>
  <c r="B58" i="1"/>
  <c r="H63" i="1"/>
  <c r="K76" i="2" l="1"/>
  <c r="M18" i="1"/>
  <c r="L16" i="10"/>
  <c r="L53" i="10" s="1"/>
  <c r="N76" i="2" s="1"/>
  <c r="J76" i="2"/>
  <c r="E75" i="2"/>
  <c r="M73" i="2"/>
  <c r="M50" i="10"/>
  <c r="F77" i="2"/>
  <c r="H18" i="1"/>
  <c r="G16" i="10"/>
  <c r="G53" i="10" s="1"/>
  <c r="I76" i="2" s="1"/>
  <c r="J19" i="1"/>
  <c r="I17" i="10"/>
  <c r="I54" i="10" s="1"/>
  <c r="K77" i="2" s="1"/>
  <c r="I19" i="1"/>
  <c r="H17" i="10"/>
  <c r="H54" i="10" s="1"/>
  <c r="J77" i="2" s="1"/>
  <c r="L75" i="2"/>
  <c r="E20" i="1"/>
  <c r="D18" i="10"/>
  <c r="D55" i="10" s="1"/>
  <c r="F78" i="2" s="1"/>
  <c r="K51" i="10"/>
  <c r="M14" i="10"/>
  <c r="K18" i="1"/>
  <c r="J16" i="10"/>
  <c r="J53" i="10" s="1"/>
  <c r="L76" i="2" s="1"/>
  <c r="C53" i="10"/>
  <c r="L17" i="1"/>
  <c r="K15" i="10"/>
  <c r="N75" i="2"/>
  <c r="F18" i="1"/>
  <c r="E16" i="10"/>
  <c r="E53" i="10" s="1"/>
  <c r="G19" i="1"/>
  <c r="F17" i="10"/>
  <c r="F54" i="10" s="1"/>
  <c r="D18" i="1"/>
  <c r="C17" i="10" s="1"/>
  <c r="B59" i="1"/>
  <c r="B60" i="1" s="1"/>
  <c r="B63" i="1" s="1"/>
  <c r="H77" i="2" l="1"/>
  <c r="F19" i="1"/>
  <c r="E17" i="10"/>
  <c r="E54" i="10" s="1"/>
  <c r="G77" i="2" s="1"/>
  <c r="E21" i="1"/>
  <c r="D19" i="10"/>
  <c r="D56" i="10" s="1"/>
  <c r="F79" i="2" s="1"/>
  <c r="I20" i="1"/>
  <c r="H18" i="10"/>
  <c r="H55" i="10" s="1"/>
  <c r="J78" i="2" s="1"/>
  <c r="O73" i="2"/>
  <c r="N17" i="1"/>
  <c r="K19" i="1"/>
  <c r="J17" i="10"/>
  <c r="J54" i="10" s="1"/>
  <c r="L77" i="2" s="1"/>
  <c r="E76" i="2"/>
  <c r="M74" i="2"/>
  <c r="O74" i="2" s="1"/>
  <c r="M51" i="10"/>
  <c r="H19" i="1"/>
  <c r="G17" i="10"/>
  <c r="G54" i="10" s="1"/>
  <c r="I77" i="2" s="1"/>
  <c r="M19" i="1"/>
  <c r="L17" i="10"/>
  <c r="L54" i="10" s="1"/>
  <c r="C54" i="10"/>
  <c r="L18" i="1"/>
  <c r="N18" i="1" s="1"/>
  <c r="K16" i="10"/>
  <c r="K53" i="10" s="1"/>
  <c r="M76" i="2" s="1"/>
  <c r="G20" i="1"/>
  <c r="F18" i="10"/>
  <c r="F55" i="10" s="1"/>
  <c r="H78" i="2" s="1"/>
  <c r="G76" i="2"/>
  <c r="K52" i="10"/>
  <c r="M15" i="10"/>
  <c r="J20" i="1"/>
  <c r="I18" i="10"/>
  <c r="I55" i="10" s="1"/>
  <c r="K78" i="2" s="1"/>
  <c r="H60" i="1"/>
  <c r="D19" i="1"/>
  <c r="C18" i="10" s="1"/>
  <c r="B64" i="1"/>
  <c r="B65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M16" i="10" l="1"/>
  <c r="C55" i="10"/>
  <c r="E22" i="1"/>
  <c r="D20" i="10"/>
  <c r="D57" i="10" s="1"/>
  <c r="M75" i="2"/>
  <c r="O75" i="2" s="1"/>
  <c r="M52" i="10"/>
  <c r="N77" i="2"/>
  <c r="H20" i="1"/>
  <c r="G18" i="10"/>
  <c r="G55" i="10" s="1"/>
  <c r="I78" i="2" s="1"/>
  <c r="K20" i="1"/>
  <c r="J18" i="10"/>
  <c r="J55" i="10" s="1"/>
  <c r="I21" i="1"/>
  <c r="H19" i="10"/>
  <c r="H56" i="10" s="1"/>
  <c r="J79" i="2" s="1"/>
  <c r="J21" i="1"/>
  <c r="I19" i="10"/>
  <c r="I56" i="10" s="1"/>
  <c r="L19" i="1"/>
  <c r="K17" i="10"/>
  <c r="K54" i="10" s="1"/>
  <c r="M77" i="2" s="1"/>
  <c r="M20" i="1"/>
  <c r="L18" i="10"/>
  <c r="L55" i="10" s="1"/>
  <c r="N78" i="2" s="1"/>
  <c r="M53" i="10"/>
  <c r="F20" i="1"/>
  <c r="E18" i="10"/>
  <c r="E55" i="10" s="1"/>
  <c r="G78" i="2" s="1"/>
  <c r="E77" i="2"/>
  <c r="O76" i="2"/>
  <c r="G21" i="1"/>
  <c r="F19" i="10"/>
  <c r="F56" i="10" s="1"/>
  <c r="H79" i="2" s="1"/>
  <c r="H65" i="1"/>
  <c r="C233" i="1"/>
  <c r="B151" i="1"/>
  <c r="N19" i="1"/>
  <c r="D20" i="1"/>
  <c r="C19" i="10" s="1"/>
  <c r="M54" i="10" l="1"/>
  <c r="M17" i="10"/>
  <c r="L78" i="2"/>
  <c r="H21" i="1"/>
  <c r="G19" i="10"/>
  <c r="G56" i="10" s="1"/>
  <c r="I79" i="2" s="1"/>
  <c r="E78" i="2"/>
  <c r="F21" i="1"/>
  <c r="E19" i="10"/>
  <c r="E56" i="10" s="1"/>
  <c r="G79" i="2" s="1"/>
  <c r="K21" i="1"/>
  <c r="J19" i="10"/>
  <c r="J56" i="10" s="1"/>
  <c r="L79" i="2" s="1"/>
  <c r="F80" i="2"/>
  <c r="O77" i="2"/>
  <c r="M21" i="1"/>
  <c r="L19" i="10"/>
  <c r="L56" i="10" s="1"/>
  <c r="N79" i="2" s="1"/>
  <c r="K79" i="2"/>
  <c r="I22" i="1"/>
  <c r="H20" i="10"/>
  <c r="H57" i="10" s="1"/>
  <c r="J80" i="2" s="1"/>
  <c r="E23" i="1"/>
  <c r="D21" i="10"/>
  <c r="D58" i="10" s="1"/>
  <c r="F81" i="2" s="1"/>
  <c r="L20" i="1"/>
  <c r="K18" i="10"/>
  <c r="K55" i="10" s="1"/>
  <c r="C56" i="10"/>
  <c r="G22" i="1"/>
  <c r="F20" i="10"/>
  <c r="F57" i="10" s="1"/>
  <c r="H80" i="2" s="1"/>
  <c r="J22" i="1"/>
  <c r="I20" i="10"/>
  <c r="I57" i="10" s="1"/>
  <c r="K80" i="2" s="1"/>
  <c r="D21" i="1"/>
  <c r="C20" i="10" s="1"/>
  <c r="B152" i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4" i="1" s="1"/>
  <c r="G23" i="1" l="1"/>
  <c r="F21" i="10"/>
  <c r="F58" i="10" s="1"/>
  <c r="H81" i="2" s="1"/>
  <c r="M78" i="2"/>
  <c r="O78" i="2" s="1"/>
  <c r="L21" i="1"/>
  <c r="N21" i="1" s="1"/>
  <c r="K19" i="10"/>
  <c r="K56" i="10" s="1"/>
  <c r="M79" i="2" s="1"/>
  <c r="K22" i="1"/>
  <c r="J20" i="10"/>
  <c r="J57" i="10" s="1"/>
  <c r="L80" i="2" s="1"/>
  <c r="F22" i="1"/>
  <c r="E20" i="10"/>
  <c r="E57" i="10" s="1"/>
  <c r="G80" i="2" s="1"/>
  <c r="H22" i="1"/>
  <c r="G20" i="10"/>
  <c r="G57" i="10" s="1"/>
  <c r="I80" i="2" s="1"/>
  <c r="N20" i="1"/>
  <c r="M18" i="10"/>
  <c r="J23" i="1"/>
  <c r="I21" i="10"/>
  <c r="I58" i="10" s="1"/>
  <c r="K81" i="2" s="1"/>
  <c r="E79" i="2"/>
  <c r="M55" i="10"/>
  <c r="C57" i="10"/>
  <c r="E24" i="1"/>
  <c r="D23" i="10" s="1"/>
  <c r="D60" i="10" s="1"/>
  <c r="D22" i="10"/>
  <c r="D59" i="10" s="1"/>
  <c r="F82" i="2" s="1"/>
  <c r="I23" i="1"/>
  <c r="H21" i="10"/>
  <c r="H58" i="10" s="1"/>
  <c r="J81" i="2" s="1"/>
  <c r="M22" i="1"/>
  <c r="L20" i="10"/>
  <c r="L57" i="10" s="1"/>
  <c r="C236" i="1"/>
  <c r="B188" i="1"/>
  <c r="B192" i="1" s="1"/>
  <c r="D22" i="1"/>
  <c r="C21" i="10" s="1"/>
  <c r="O79" i="2" l="1"/>
  <c r="J24" i="1"/>
  <c r="I22" i="10"/>
  <c r="I59" i="10" s="1"/>
  <c r="K82" i="2" s="1"/>
  <c r="H23" i="1"/>
  <c r="G21" i="10"/>
  <c r="G58" i="10" s="1"/>
  <c r="I81" i="2" s="1"/>
  <c r="C58" i="10"/>
  <c r="I24" i="1"/>
  <c r="H22" i="10"/>
  <c r="H59" i="10" s="1"/>
  <c r="J82" i="2" s="1"/>
  <c r="N80" i="2"/>
  <c r="E26" i="1"/>
  <c r="E80" i="2"/>
  <c r="M56" i="10"/>
  <c r="F23" i="1"/>
  <c r="E21" i="10"/>
  <c r="E58" i="10" s="1"/>
  <c r="G81" i="2" s="1"/>
  <c r="L22" i="1"/>
  <c r="K20" i="10"/>
  <c r="F83" i="2"/>
  <c r="F84" i="2" s="1"/>
  <c r="F111" i="2" s="1"/>
  <c r="F114" i="2" s="1"/>
  <c r="D61" i="10"/>
  <c r="K23" i="1"/>
  <c r="J21" i="10"/>
  <c r="J58" i="10" s="1"/>
  <c r="L81" i="2" s="1"/>
  <c r="M23" i="1"/>
  <c r="L21" i="10"/>
  <c r="L58" i="10" s="1"/>
  <c r="N81" i="2" s="1"/>
  <c r="M19" i="10"/>
  <c r="G24" i="1"/>
  <c r="F22" i="10"/>
  <c r="F59" i="10" s="1"/>
  <c r="H82" i="2" s="1"/>
  <c r="C234" i="1"/>
  <c r="N22" i="1"/>
  <c r="D23" i="1"/>
  <c r="C22" i="10" s="1"/>
  <c r="B198" i="1"/>
  <c r="C235" i="1"/>
  <c r="H23" i="10" l="1"/>
  <c r="H60" i="10" s="1"/>
  <c r="I26" i="1"/>
  <c r="K24" i="1"/>
  <c r="J22" i="10"/>
  <c r="J59" i="10" s="1"/>
  <c r="L82" i="2" s="1"/>
  <c r="L23" i="1"/>
  <c r="N23" i="1" s="1"/>
  <c r="K21" i="10"/>
  <c r="K58" i="10" s="1"/>
  <c r="M81" i="2" s="1"/>
  <c r="H24" i="1"/>
  <c r="G22" i="10"/>
  <c r="G59" i="10" s="1"/>
  <c r="I82" i="2" s="1"/>
  <c r="C59" i="10"/>
  <c r="E81" i="2"/>
  <c r="F23" i="10"/>
  <c r="F60" i="10" s="1"/>
  <c r="G26" i="1"/>
  <c r="K57" i="10"/>
  <c r="M20" i="10"/>
  <c r="M24" i="1"/>
  <c r="L23" i="10" s="1"/>
  <c r="L60" i="10" s="1"/>
  <c r="L22" i="10"/>
  <c r="L59" i="10" s="1"/>
  <c r="N82" i="2" s="1"/>
  <c r="F129" i="2"/>
  <c r="F126" i="2"/>
  <c r="F130" i="2"/>
  <c r="F125" i="2"/>
  <c r="F124" i="2"/>
  <c r="F131" i="2"/>
  <c r="F127" i="2"/>
  <c r="F121" i="2"/>
  <c r="F122" i="2"/>
  <c r="F132" i="2"/>
  <c r="F123" i="2"/>
  <c r="F128" i="2"/>
  <c r="F24" i="1"/>
  <c r="E23" i="10" s="1"/>
  <c r="E60" i="10" s="1"/>
  <c r="E22" i="10"/>
  <c r="E59" i="10" s="1"/>
  <c r="G82" i="2" s="1"/>
  <c r="I23" i="10"/>
  <c r="I60" i="10" s="1"/>
  <c r="J26" i="1"/>
  <c r="B199" i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D24" i="1"/>
  <c r="C23" i="10" s="1"/>
  <c r="F26" i="1" l="1"/>
  <c r="O81" i="2"/>
  <c r="M58" i="10"/>
  <c r="M21" i="10"/>
  <c r="C60" i="10"/>
  <c r="N83" i="2"/>
  <c r="N84" i="2" s="1"/>
  <c r="N111" i="2" s="1"/>
  <c r="N114" i="2" s="1"/>
  <c r="L61" i="10"/>
  <c r="H83" i="2"/>
  <c r="H84" i="2" s="1"/>
  <c r="H111" i="2" s="1"/>
  <c r="H114" i="2" s="1"/>
  <c r="F61" i="10"/>
  <c r="J23" i="10"/>
  <c r="J60" i="10" s="1"/>
  <c r="K26" i="1"/>
  <c r="G83" i="2"/>
  <c r="G84" i="2" s="1"/>
  <c r="G111" i="2" s="1"/>
  <c r="G114" i="2" s="1"/>
  <c r="E61" i="10"/>
  <c r="E82" i="2"/>
  <c r="G23" i="10"/>
  <c r="G60" i="10" s="1"/>
  <c r="H26" i="1"/>
  <c r="K83" i="2"/>
  <c r="K84" i="2" s="1"/>
  <c r="K111" i="2" s="1"/>
  <c r="K114" i="2" s="1"/>
  <c r="I61" i="10"/>
  <c r="F15" i="2"/>
  <c r="F133" i="2"/>
  <c r="M26" i="1"/>
  <c r="M80" i="2"/>
  <c r="O80" i="2" s="1"/>
  <c r="M57" i="10"/>
  <c r="L24" i="1"/>
  <c r="K22" i="10"/>
  <c r="K59" i="10" s="1"/>
  <c r="M82" i="2" s="1"/>
  <c r="J83" i="2"/>
  <c r="J84" i="2" s="1"/>
  <c r="J111" i="2" s="1"/>
  <c r="J114" i="2" s="1"/>
  <c r="H61" i="10"/>
  <c r="D26" i="1"/>
  <c r="C237" i="1"/>
  <c r="O82" i="2" l="1"/>
  <c r="M22" i="10"/>
  <c r="K23" i="10"/>
  <c r="K60" i="10" s="1"/>
  <c r="M60" i="10" s="1"/>
  <c r="L26" i="1"/>
  <c r="K122" i="2"/>
  <c r="K132" i="2"/>
  <c r="K128" i="2"/>
  <c r="K123" i="2"/>
  <c r="K126" i="2"/>
  <c r="K125" i="2"/>
  <c r="K127" i="2"/>
  <c r="K130" i="2"/>
  <c r="K129" i="2"/>
  <c r="K131" i="2"/>
  <c r="K121" i="2"/>
  <c r="K124" i="2"/>
  <c r="L83" i="2"/>
  <c r="L84" i="2" s="1"/>
  <c r="L111" i="2" s="1"/>
  <c r="L114" i="2" s="1"/>
  <c r="J61" i="10"/>
  <c r="N127" i="2"/>
  <c r="N126" i="2"/>
  <c r="N128" i="2"/>
  <c r="N124" i="2"/>
  <c r="N121" i="2"/>
  <c r="N132" i="2"/>
  <c r="N131" i="2"/>
  <c r="N125" i="2"/>
  <c r="N130" i="2"/>
  <c r="N129" i="2"/>
  <c r="N123" i="2"/>
  <c r="N122" i="2"/>
  <c r="N24" i="1"/>
  <c r="N26" i="1" s="1"/>
  <c r="E44" i="1" s="1"/>
  <c r="J122" i="2"/>
  <c r="J132" i="2"/>
  <c r="J128" i="2"/>
  <c r="J131" i="2"/>
  <c r="J123" i="2"/>
  <c r="J126" i="2"/>
  <c r="J121" i="2"/>
  <c r="J130" i="2"/>
  <c r="J129" i="2"/>
  <c r="J125" i="2"/>
  <c r="J124" i="2"/>
  <c r="J127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I83" i="2"/>
  <c r="I84" i="2" s="1"/>
  <c r="I111" i="2" s="1"/>
  <c r="I114" i="2" s="1"/>
  <c r="G61" i="10"/>
  <c r="G122" i="2"/>
  <c r="G124" i="2"/>
  <c r="G123" i="2"/>
  <c r="G130" i="2"/>
  <c r="G131" i="2"/>
  <c r="G126" i="2"/>
  <c r="G121" i="2"/>
  <c r="G15" i="2" s="1"/>
  <c r="G129" i="2"/>
  <c r="G132" i="2"/>
  <c r="G128" i="2"/>
  <c r="G127" i="2"/>
  <c r="G125" i="2"/>
  <c r="M23" i="10"/>
  <c r="M59" i="10"/>
  <c r="H124" i="2"/>
  <c r="H126" i="2"/>
  <c r="H121" i="2"/>
  <c r="H15" i="2" s="1"/>
  <c r="H125" i="2"/>
  <c r="H129" i="2"/>
  <c r="H132" i="2"/>
  <c r="H122" i="2"/>
  <c r="H130" i="2"/>
  <c r="H131" i="2"/>
  <c r="H127" i="2"/>
  <c r="H123" i="2"/>
  <c r="H128" i="2"/>
  <c r="E83" i="2"/>
  <c r="C61" i="10"/>
  <c r="F27" i="2" l="1"/>
  <c r="G16" i="2"/>
  <c r="G17" i="2" s="1"/>
  <c r="G18" i="2" s="1"/>
  <c r="G19" i="2" s="1"/>
  <c r="G20" i="2" s="1"/>
  <c r="G21" i="2" s="1"/>
  <c r="G22" i="2" s="1"/>
  <c r="G23" i="2" s="1"/>
  <c r="G24" i="2" s="1"/>
  <c r="G25" i="2" s="1"/>
  <c r="G27" i="2" s="1"/>
  <c r="E84" i="2"/>
  <c r="I122" i="2"/>
  <c r="I127" i="2"/>
  <c r="I132" i="2"/>
  <c r="I128" i="2"/>
  <c r="I129" i="2"/>
  <c r="I124" i="2"/>
  <c r="I121" i="2"/>
  <c r="I131" i="2"/>
  <c r="I123" i="2"/>
  <c r="I126" i="2"/>
  <c r="I130" i="2"/>
  <c r="I125" i="2"/>
  <c r="J15" i="2"/>
  <c r="J133" i="2"/>
  <c r="L127" i="2"/>
  <c r="L128" i="2"/>
  <c r="L122" i="2"/>
  <c r="L126" i="2"/>
  <c r="L130" i="2"/>
  <c r="L132" i="2"/>
  <c r="L131" i="2"/>
  <c r="L121" i="2"/>
  <c r="L125" i="2"/>
  <c r="L129" i="2"/>
  <c r="L123" i="2"/>
  <c r="L124" i="2"/>
  <c r="H16" i="2"/>
  <c r="H17" i="2" s="1"/>
  <c r="H18" i="2" s="1"/>
  <c r="H19" i="2" s="1"/>
  <c r="H20" i="2" s="1"/>
  <c r="H21" i="2" s="1"/>
  <c r="H22" i="2" s="1"/>
  <c r="H23" i="2" s="1"/>
  <c r="H24" i="2" s="1"/>
  <c r="H25" i="2" s="1"/>
  <c r="G133" i="2"/>
  <c r="M62" i="10"/>
  <c r="H133" i="2"/>
  <c r="N15" i="2"/>
  <c r="N133" i="2"/>
  <c r="K133" i="2"/>
  <c r="K15" i="2"/>
  <c r="M83" i="2"/>
  <c r="M84" i="2" s="1"/>
  <c r="M111" i="2" s="1"/>
  <c r="M114" i="2" s="1"/>
  <c r="K61" i="10"/>
  <c r="L15" i="2" l="1"/>
  <c r="L133" i="2"/>
  <c r="J16" i="2"/>
  <c r="J17" i="2" s="1"/>
  <c r="J18" i="2" s="1"/>
  <c r="J19" i="2" s="1"/>
  <c r="J20" i="2" s="1"/>
  <c r="J21" i="2" s="1"/>
  <c r="J22" i="2" s="1"/>
  <c r="J23" i="2" s="1"/>
  <c r="J24" i="2" s="1"/>
  <c r="J25" i="2" s="1"/>
  <c r="M122" i="2"/>
  <c r="M123" i="2"/>
  <c r="M128" i="2"/>
  <c r="M129" i="2"/>
  <c r="M132" i="2"/>
  <c r="M131" i="2"/>
  <c r="M125" i="2"/>
  <c r="M127" i="2"/>
  <c r="M126" i="2"/>
  <c r="M124" i="2"/>
  <c r="M121" i="2"/>
  <c r="M130" i="2"/>
  <c r="N16" i="2"/>
  <c r="N17" i="2" s="1"/>
  <c r="N18" i="2" s="1"/>
  <c r="N19" i="2" s="1"/>
  <c r="N20" i="2" s="1"/>
  <c r="N21" i="2" s="1"/>
  <c r="N22" i="2" s="1"/>
  <c r="N23" i="2" s="1"/>
  <c r="N24" i="2" s="1"/>
  <c r="N25" i="2" s="1"/>
  <c r="H27" i="2"/>
  <c r="E111" i="2"/>
  <c r="O84" i="2"/>
  <c r="K16" i="2"/>
  <c r="K17" i="2" s="1"/>
  <c r="K18" i="2" s="1"/>
  <c r="K19" i="2" s="1"/>
  <c r="K20" i="2" s="1"/>
  <c r="K21" i="2" s="1"/>
  <c r="K22" i="2" s="1"/>
  <c r="K23" i="2" s="1"/>
  <c r="K24" i="2" s="1"/>
  <c r="K25" i="2" s="1"/>
  <c r="I15" i="2"/>
  <c r="I133" i="2"/>
  <c r="O83" i="2"/>
  <c r="J27" i="2" l="1"/>
  <c r="K27" i="2"/>
  <c r="E114" i="2"/>
  <c r="O111" i="2"/>
  <c r="M15" i="2"/>
  <c r="M133" i="2"/>
  <c r="I16" i="2"/>
  <c r="I17" i="2" s="1"/>
  <c r="I18" i="2" s="1"/>
  <c r="I19" i="2" s="1"/>
  <c r="I20" i="2" s="1"/>
  <c r="I21" i="2" s="1"/>
  <c r="I22" i="2" s="1"/>
  <c r="I23" i="2" s="1"/>
  <c r="I24" i="2" s="1"/>
  <c r="I25" i="2" s="1"/>
  <c r="N27" i="2"/>
  <c r="L16" i="2"/>
  <c r="L17" i="2" s="1"/>
  <c r="L18" i="2" s="1"/>
  <c r="L19" i="2" s="1"/>
  <c r="L20" i="2" s="1"/>
  <c r="L21" i="2" s="1"/>
  <c r="L22" i="2" s="1"/>
  <c r="L23" i="2" s="1"/>
  <c r="L24" i="2" s="1"/>
  <c r="L25" i="2" s="1"/>
  <c r="L27" i="2" l="1"/>
  <c r="M16" i="2"/>
  <c r="M17" i="2" s="1"/>
  <c r="M18" i="2" s="1"/>
  <c r="M19" i="2" s="1"/>
  <c r="M20" i="2" s="1"/>
  <c r="M21" i="2" s="1"/>
  <c r="M22" i="2" s="1"/>
  <c r="M23" i="2" s="1"/>
  <c r="M24" i="2" s="1"/>
  <c r="M25" i="2" s="1"/>
  <c r="I27" i="2"/>
  <c r="E131" i="2"/>
  <c r="O131" i="2" s="1"/>
  <c r="E128" i="2"/>
  <c r="O128" i="2" s="1"/>
  <c r="E122" i="2"/>
  <c r="O122" i="2" s="1"/>
  <c r="E121" i="2"/>
  <c r="E130" i="2"/>
  <c r="O130" i="2" s="1"/>
  <c r="E123" i="2"/>
  <c r="O123" i="2" s="1"/>
  <c r="O114" i="2"/>
  <c r="E124" i="2"/>
  <c r="O124" i="2" s="1"/>
  <c r="E127" i="2"/>
  <c r="O127" i="2" s="1"/>
  <c r="E126" i="2"/>
  <c r="O126" i="2" s="1"/>
  <c r="E129" i="2"/>
  <c r="O129" i="2" s="1"/>
  <c r="E125" i="2"/>
  <c r="O125" i="2" s="1"/>
  <c r="E132" i="2"/>
  <c r="O132" i="2" s="1"/>
  <c r="O121" i="2" l="1"/>
  <c r="O133" i="2" s="1"/>
  <c r="E133" i="2"/>
  <c r="E15" i="2"/>
  <c r="M27" i="2"/>
  <c r="O15" i="2" l="1"/>
  <c r="E16" i="2"/>
  <c r="O16" i="2" l="1"/>
  <c r="E17" i="2"/>
  <c r="O17" i="2" l="1"/>
  <c r="E18" i="2"/>
  <c r="O18" i="2" l="1"/>
  <c r="E19" i="2"/>
  <c r="O19" i="2" l="1"/>
  <c r="E20" i="2"/>
  <c r="E21" i="2" l="1"/>
  <c r="O20" i="2"/>
  <c r="E22" i="2" l="1"/>
  <c r="O21" i="2"/>
  <c r="E23" i="2" l="1"/>
  <c r="O22" i="2"/>
  <c r="O23" i="2" l="1"/>
  <c r="E24" i="2"/>
  <c r="O24" i="2" l="1"/>
  <c r="E25" i="2"/>
  <c r="O25" i="2" l="1"/>
  <c r="E27" i="2"/>
  <c r="O27" i="2" s="1"/>
</calcChain>
</file>

<file path=xl/sharedStrings.xml><?xml version="1.0" encoding="utf-8"?>
<sst xmlns="http://schemas.openxmlformats.org/spreadsheetml/2006/main" count="601" uniqueCount="246">
  <si>
    <t>Plant In Service</t>
  </si>
  <si>
    <t>Inputs are shaded yellow</t>
  </si>
  <si>
    <t>1) Transmission Plant - ISO</t>
  </si>
  <si>
    <t>Balances for Transmission Plant - ISO during the Prior Year, including December of previous year (See Note 1):</t>
  </si>
  <si>
    <t>Prior Year: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</si>
  <si>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</si>
  <si>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</si>
  <si>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</si>
  <si>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</si>
  <si>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</si>
  <si>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</si>
  <si>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</si>
  <si>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</si>
  <si>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</si>
  <si>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</si>
  <si>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</si>
  <si>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Col 12</t>
  </si>
  <si>
    <t>Sum C2 - C11</t>
  </si>
  <si>
    <t>Line</t>
  </si>
  <si>
    <t>Mo/YR</t>
  </si>
  <si>
    <t>Total</t>
  </si>
  <si>
    <t>Dec 2015</t>
  </si>
  <si>
    <t>Jan 2016</t>
  </si>
  <si>
    <t>Feb 2016</t>
  </si>
  <si>
    <t>Mar 2016</t>
  </si>
  <si>
    <t>Apr 2016</t>
  </si>
  <si>
    <t>May 2016</t>
  </si>
  <si>
    <t>Jun 2016</t>
  </si>
  <si>
    <t>Jul 2016</t>
  </si>
  <si>
    <t>Aug 2016</t>
  </si>
  <si>
    <t>Sep 2016</t>
  </si>
  <si>
    <t>Oct 2016</t>
  </si>
  <si>
    <t>Nov 2016</t>
  </si>
  <si>
    <t>Dec 2016</t>
  </si>
  <si>
    <t>13-Mo. Avg:</t>
  </si>
  <si>
    <t>2) Distribution Plant - ISO</t>
  </si>
  <si>
    <t>Balances for Distribution Plant - ISO for December of Prior Year and year before Prior Year (See Note 2)</t>
  </si>
  <si>
    <t>Sum C2 - C4</t>
  </si>
  <si>
    <t>Average:</t>
  </si>
  <si>
    <t>3) ISO Transmission Plant</t>
  </si>
  <si>
    <t>ISO Transmission Plant is the sum of "Transmission Plant - ISO" and "Distribution Plant - ISO"</t>
  </si>
  <si>
    <t>Amount</t>
  </si>
  <si>
    <t>Source</t>
  </si>
  <si>
    <t>Average value:</t>
  </si>
  <si>
    <t>EOY Value:</t>
  </si>
  <si>
    <t>4) General Plant + Electric Miscellaneous Intangible Plant ("G&amp;I Plant")</t>
  </si>
  <si>
    <t>General and Intangible Plant is an allocated portion of Total G&amp;I Plant based on the Trans. W&amp;S Allocation Factor</t>
  </si>
  <si>
    <t>Note 1</t>
  </si>
  <si>
    <t>Prior</t>
  </si>
  <si>
    <t>General</t>
  </si>
  <si>
    <t>Intangible</t>
  </si>
  <si>
    <t>Year</t>
  </si>
  <si>
    <t>Data</t>
  </si>
  <si>
    <t>Plant</t>
  </si>
  <si>
    <t>G&amp;I Plant</t>
  </si>
  <si>
    <t>Month</t>
  </si>
  <si>
    <t>Balances</t>
  </si>
  <si>
    <t>Notes</t>
  </si>
  <si>
    <t>December</t>
  </si>
  <si>
    <t>FF1 206.99.b and 204.5b</t>
  </si>
  <si>
    <t>BOY amount from previous PY</t>
  </si>
  <si>
    <t>FF1 207.99.g and 205.5g</t>
  </si>
  <si>
    <t>End of year ("EOY") amount</t>
  </si>
  <si>
    <t xml:space="preserve">a) BOY/EOY Average G&amp;I Plant </t>
  </si>
  <si>
    <t>Average BOY/EOY Value:</t>
  </si>
  <si>
    <t>Transmission W&amp;S Allocation Factor:</t>
  </si>
  <si>
    <t>General + Intangible Plant:</t>
  </si>
  <si>
    <t>b) EOY G&amp;I Plant</t>
  </si>
  <si>
    <t>Transmission Activity Used to Determine Monthly Transmission Plant - ISO Balances</t>
  </si>
  <si>
    <t>1) Total Transmission Plant Balances by Account (See Note 3)</t>
  </si>
  <si>
    <t>2) Total Transmission Activity by Account (See Note 4):</t>
  </si>
  <si>
    <t>Total:</t>
  </si>
  <si>
    <t>3) ISO Incentive Plant Balances (See Note 5)</t>
  </si>
  <si>
    <t>4) ISO Incentive Plant Activity (See Note 6)</t>
  </si>
  <si>
    <t>5) Total Transmission Activity Not Including Incentive Plant Activity (See Note 7):</t>
  </si>
  <si>
    <t>6) Total Monthly Transmission Activity as a Percent of Annual Transmission Activity (See Note 8)</t>
  </si>
  <si>
    <t>4) Calculation of change in Non-Incentive ISO Plant:</t>
  </si>
  <si>
    <t>A) Change in ISO Plant Balance December to December (See Note 9)</t>
  </si>
  <si>
    <t>B) Change in Incentive ISO Plant (See Note 10)</t>
  </si>
  <si>
    <t>C) Change in Non-Incentive ISO Plant (See Note 11)</t>
  </si>
  <si>
    <t>5) Other ISO Transmission Activity without Incentive Plant Activity (See Note 12):</t>
  </si>
  <si>
    <t>Notes:</t>
  </si>
  <si>
    <t xml:space="preserve">1) Amounts on Line 13 from corresponding account Schedule 7, column 2.  </t>
  </si>
  <si>
    <t>Amounts on Line 1 must match corresponding account Schedule 7, Column 2 for previous year.</t>
  </si>
  <si>
    <t xml:space="preserve">The amounts for each month on the remaining lines are calculated by summing the following values: </t>
  </si>
  <si>
    <t>a) Other ISO Transmission Activity without Incentive Plant Activity on Lines 108-119 for the same month;</t>
  </si>
  <si>
    <t>b) ISO Incentive Plant Activity on Lines 67 to 78 for the same month; and</t>
  </si>
  <si>
    <t xml:space="preserve">c) The previous month balance of the Transmission Plant - ISO amounts on Lines 1-13.  </t>
  </si>
  <si>
    <t xml:space="preserve">For instance, the amount for May of the Prior Year (on Line 6) for Account 353 (Column 5) is the sum of the following values: </t>
  </si>
  <si>
    <t>a) the "Other ISO Transmission Activity without Incentive Plant Activity" for May of the Prior Year (on Line 112, Column 5);</t>
  </si>
  <si>
    <t>b) the "ISO Incentive Plant Activity" for May of the Prior Year (on Line 71, Column 5),</t>
  </si>
  <si>
    <t>c) and the "Transmission Plant - ISO" amount for April of the Prior Year (on Line 5, Column 5).</t>
  </si>
  <si>
    <t>3) Reconciles to BOY and EOY FERC Form 1 (FF1 207, Lines 48-56 , Column g).</t>
  </si>
  <si>
    <t>4) Includes recorded Transmission Plant-In-Service additions, retirements, transfers and adjustments.  From SCE internal acounting records.</t>
  </si>
  <si>
    <t>5) Includes balances for SCE Incentive Projects.</t>
  </si>
  <si>
    <t>Other columns from SCE internal accounting records.</t>
  </si>
  <si>
    <t>7) Amount in matrix on lines 41 to 52 minus amount in matrix on lines 67 to 78</t>
  </si>
  <si>
    <t>8) Amount in "Total Transmission Activity Not Including Incentive Plant Activity" matrix divided by Total on Line 92 for each account/month.</t>
  </si>
  <si>
    <t>"Other Activity" on Line 54.</t>
  </si>
  <si>
    <t>8) Multiply the montly "Total Transmission Allocation Factors" ratios found in Lines 40-51 by the</t>
  </si>
  <si>
    <t>4) From 6-PlantInService, Lines 93 to 104.</t>
  </si>
  <si>
    <t>c) The balances for Transmission Depreciation Reserve for April of the Prior Year (on Line 5, column 5).</t>
  </si>
  <si>
    <t xml:space="preserve">b) Other Transmission Activity for May of the Prior Year (on Line 59, Column 5); and </t>
  </si>
  <si>
    <t>a) Depreciation Expense for May of the Prior Year (on Line 44, Column 5);</t>
  </si>
  <si>
    <t>For instance, the amount for May of the Prior Year (on Line 6) for Account 353 (Column 5) is the sum of the following values:</t>
  </si>
  <si>
    <t>c) Balances for Transmission Depreciation Reserve (on Lines 1 to 13) for the previous month.</t>
  </si>
  <si>
    <t xml:space="preserve">b) Other Transmission Activity (on Lines 55 to 66) for the same month; and </t>
  </si>
  <si>
    <t>a) Depreciation Expense (on Lines 40 to 51) for the same month;</t>
  </si>
  <si>
    <t>The amounts for each month on the remaining lines are calculated by summing the following values:</t>
  </si>
  <si>
    <t>shall match amounts on Line 13 in previous year Annual Update.</t>
  </si>
  <si>
    <t xml:space="preserve">1) Amounts on Line 13 based on current year Plant Study.  Amounts on Line 1 shall be based on previous year Plant Study, and </t>
  </si>
  <si>
    <t>4) Other Transmission Activity (See Note 8)</t>
  </si>
  <si>
    <t>C) Other Activity (See Note 7)</t>
  </si>
  <si>
    <t>B) Total Depreciation Expense (See Note 6)</t>
  </si>
  <si>
    <t>A) Change in Depreciation Reserve - ISO (See Note 5)</t>
  </si>
  <si>
    <t>3) Calculation of Non-Incentive ISO Reserve</t>
  </si>
  <si>
    <t>2) Total Transmission Allocation Factors (See Note 4)</t>
  </si>
  <si>
    <t>1) ISO Depreciation Expense (See Note 3)</t>
  </si>
  <si>
    <t>Transmission Activity Used to Determine Monthly Transmission Depreciation Reserve - ISO Balances</t>
  </si>
  <si>
    <t>G + I Plant Dep. Reserve (EOY):</t>
  </si>
  <si>
    <t>Total G+I Dep. Reserve on Average EOY basis:</t>
  </si>
  <si>
    <t xml:space="preserve">b) EOY General and Intangible Depreciation Reserve </t>
  </si>
  <si>
    <t>G + I Plant Dep. Reserve (BOY/EOY Average):</t>
  </si>
  <si>
    <t>Total G+I Dep. Reserve on Average BOY/EOY basis:</t>
  </si>
  <si>
    <t>a) Average BOY/EOY General and Intangible Depreciation Reserve</t>
  </si>
  <si>
    <t>BOY/EOY Average:</t>
  </si>
  <si>
    <t>FF1 219.28c and 200.21c</t>
  </si>
  <si>
    <t>EOY:</t>
  </si>
  <si>
    <t>FF1 219.28c and 200.21c for previous year</t>
  </si>
  <si>
    <t>BOY:</t>
  </si>
  <si>
    <t>Reserve</t>
  </si>
  <si>
    <t xml:space="preserve">Depreciation </t>
  </si>
  <si>
    <t>Gen. and Int.</t>
  </si>
  <si>
    <t>=C4+C5</t>
  </si>
  <si>
    <t>3) General and Intangible Depreciation Reserve</t>
  </si>
  <si>
    <t>End of Year ("EOY") amount</t>
  </si>
  <si>
    <t>Beginning of Year ("BOY") amount</t>
  </si>
  <si>
    <t>Account:</t>
  </si>
  <si>
    <t>=Sum C2 to C4</t>
  </si>
  <si>
    <t>FERC</t>
  </si>
  <si>
    <t>2) Distribution Depreciation Reserve - ISO (See Note 2)</t>
  </si>
  <si>
    <t>Sept 2016</t>
  </si>
  <si>
    <t>=Sum C2 to C11</t>
  </si>
  <si>
    <t>Balances for Transmission Depreciation Reserve - ISO during the Prior Year, including December of previous year (See Note 1):</t>
  </si>
  <si>
    <t>1) Transmission Depreciation Reserve - ISO</t>
  </si>
  <si>
    <t>Input cells are shaded yellow</t>
  </si>
  <si>
    <t>Accumulated Depreciation Reserve</t>
  </si>
  <si>
    <t>Depreciation Expense</t>
  </si>
  <si>
    <t>1) Calculation of Depreciation Expense for Transmission Plant - ISO</t>
  </si>
  <si>
    <t>Balances for Transmission Plant - ISO during the Prior Year, including December of previous year:</t>
  </si>
  <si>
    <r>
      <rPr>
        <b/>
        <sz val="10"/>
        <rFont val="Arial"/>
        <family val="2"/>
      </rPr>
      <t xml:space="preserve">Source: </t>
    </r>
    <r>
      <rPr>
        <sz val="10"/>
        <rFont val="Arial"/>
        <family val="2"/>
      </rPr>
      <t>6-PlantInService, Lines 1-13.</t>
    </r>
  </si>
  <si>
    <t>Depreciation Rates (Percent per year)  See "18-DepRates" and Instruction 1.</t>
  </si>
  <si>
    <t>17a</t>
  </si>
  <si>
    <t>17b</t>
  </si>
  <si>
    <t>17c</t>
  </si>
  <si>
    <t>17d</t>
  </si>
  <si>
    <t>17e</t>
  </si>
  <si>
    <t>17f</t>
  </si>
  <si>
    <t>17g</t>
  </si>
  <si>
    <t>17h</t>
  </si>
  <si>
    <t>17i</t>
  </si>
  <si>
    <t>17j</t>
  </si>
  <si>
    <t>17k</t>
  </si>
  <si>
    <t>17l</t>
  </si>
  <si>
    <t>17m</t>
  </si>
  <si>
    <t>Monthly Depreciation Expense for Transmission Plant - ISO by FERC Account:</t>
  </si>
  <si>
    <t>See Note 1 and Instruction 1</t>
  </si>
  <si>
    <t>Totals:</t>
  </si>
  <si>
    <t>Total Annual Depreciation Expense for Transmission Plant - ISO:</t>
  </si>
  <si>
    <t>(equals sum of monthly amounts)</t>
  </si>
  <si>
    <t>Check</t>
  </si>
  <si>
    <t>Total Plant</t>
  </si>
  <si>
    <t>Incentive Plant</t>
  </si>
  <si>
    <t>ISO Plant</t>
  </si>
  <si>
    <t>Incentive Reserve</t>
  </si>
  <si>
    <t>ISO Reserve</t>
  </si>
  <si>
    <t>SOUTHERN CALIFORNIA EDISON COMPANY</t>
  </si>
  <si>
    <t>Transmission/Distribution ISO Facilities Study</t>
  </si>
  <si>
    <t>December 2016 Plant</t>
  </si>
  <si>
    <t>$</t>
  </si>
  <si>
    <t>Transmission</t>
  </si>
  <si>
    <t>Retroactive Adjustment Amounts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</si>
  <si>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</si>
  <si>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</si>
  <si>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</si>
  <si>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</si>
  <si>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</si>
  <si>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</si>
  <si>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YE 2013</t>
  </si>
  <si>
    <t>YE 2014</t>
  </si>
  <si>
    <t>YE 2015</t>
  </si>
  <si>
    <t xml:space="preserve"> YE 2016</t>
  </si>
  <si>
    <t>Substation 1</t>
  </si>
  <si>
    <t>Total Substation</t>
  </si>
  <si>
    <t>Land</t>
  </si>
  <si>
    <t>Calculated Impact - 352</t>
  </si>
  <si>
    <t>Total Substation and Land</t>
  </si>
  <si>
    <t>Net of Inc. Total Plant</t>
  </si>
  <si>
    <t>Net of Inc. ISO Plant</t>
  </si>
  <si>
    <t>Net of Inc. ISO</t>
  </si>
  <si>
    <t>Pre-Adj</t>
  </si>
  <si>
    <t>Lines</t>
  </si>
  <si>
    <t>Post Adj.</t>
  </si>
  <si>
    <t>Variance</t>
  </si>
  <si>
    <t>Total Plant Net of Incentive (Pre-Adj.)</t>
  </si>
  <si>
    <t>Change in Net of Incentive ISO Percent</t>
  </si>
  <si>
    <t>Change in ISO Reported ISO Plant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</si>
  <si>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</si>
  <si>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</si>
  <si>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</si>
  <si>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</si>
  <si>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</si>
  <si>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</si>
  <si>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 (Land &amp; Structures)</t>
  </si>
  <si>
    <t>Total Transmission &amp; Distribution</t>
  </si>
  <si>
    <t>December 2015 Plant</t>
  </si>
  <si>
    <t>BOY/EOY ISO Transmission Accumulated Depreciation</t>
  </si>
  <si>
    <t>Total Company</t>
  </si>
  <si>
    <t>Other</t>
  </si>
  <si>
    <t>Net Reg Asset</t>
  </si>
  <si>
    <t>ARO</t>
  </si>
  <si>
    <t>RWIP Allocation</t>
  </si>
  <si>
    <t>SONGS</t>
  </si>
  <si>
    <t>Mohave</t>
  </si>
  <si>
    <t>Reconciling Items</t>
  </si>
  <si>
    <t>PV Sunk NBV</t>
  </si>
  <si>
    <t>RWIP (108.9) compared to TO</t>
  </si>
  <si>
    <t>FF1 Reference</t>
  </si>
  <si>
    <t xml:space="preserve">FF1 219.28c and FF1 200.21c for previous year </t>
  </si>
  <si>
    <t>FF1 219.28c and FF1 200.21c</t>
  </si>
  <si>
    <t>27-Allocators, Line 9</t>
  </si>
  <si>
    <t>6) Monthly differences from previous matrix.  Column 12 matches 'Activity for Incentive Projects' on 14-IncentivePlant, Lines 39 to 52.</t>
  </si>
  <si>
    <t>3) From 17-Depreciation, Lines 24 to 35.</t>
  </si>
  <si>
    <t>Total Transmission Plant &amp; Reserve Balances</t>
  </si>
  <si>
    <t>Southern California Edison</t>
  </si>
  <si>
    <t>FF1 Page 219</t>
  </si>
  <si>
    <t>Adj. Transmission Balance</t>
  </si>
  <si>
    <t>Reserve Total Check</t>
  </si>
  <si>
    <t xml:space="preserve">Accumulated Depreciation </t>
  </si>
  <si>
    <t>Reconciliation to FF1</t>
  </si>
  <si>
    <t>General and Intangible Reserve Summary</t>
  </si>
  <si>
    <t xml:space="preserve">FERC Rate Differential </t>
  </si>
  <si>
    <t>Net of Incentive ISO %</t>
  </si>
  <si>
    <t>FERC Rate Differential</t>
  </si>
  <si>
    <t>Total Company Reserve</t>
  </si>
  <si>
    <t>Total ISO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</si>
</sst>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mmm\ yyyy"/>
    <numFmt numFmtId="166" formatCode="_(* #,##0_);_(* \(#,##0\);_(* &quot;-&quot;??_);_(@_)"/>
    <numFmt numFmtId="167" formatCode="0.0000%"/>
    <numFmt numFmtId="168" formatCode="0.0%"/>
    <numFmt numFmtId="169" formatCode="&quot;$&quot;#,##0.00"/>
    <numFmt numFmtId="170" formatCode="[$-409]mmm\-yy;@"/>
    <numFmt numFmtId="171" formatCode="0.00000%"/>
    <numFmt numFmtId="172" formatCode="_(* #,##0.0_);_(* \(#,##0.0\);_(* &quot;-&quot;??_);_(@_)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0" fontId="7" fillId="0" borderId="0"/>
    <xf numFmtId="0" fontId="4" fillId="0" borderId="0"/>
    <xf numFmtId="43" fontId="7" fillId="0" borderId="0" applyFont="0" applyFill="0" applyBorder="0" applyAlignment="0" applyProtection="0"/>
    <xf numFmtId="38" fontId="13" fillId="0" borderId="0"/>
    <xf numFmtId="0" fontId="7" fillId="0" borderId="0"/>
    <xf numFmtId="9" fontId="1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3" borderId="1" applyNumberFormat="0" applyFont="0" applyAlignment="0" applyProtection="0"/>
    <xf numFmtId="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3" borderId="1" applyNumberFormat="0" applyFont="0" applyAlignment="0" applyProtection="0"/>
  </cellStyleXfs>
  <cellXfs count="256">
    <xf numFmtId="0" fontId="0" fillId="0" borderId="0" xfId="0"/>
    <xf numFmtId="17" fontId="7" fillId="2" borderId="0" xfId="1" quotePrefix="1" applyNumberFormat="1" applyFont="1" applyFill="1" applyBorder="1" applyAlignment="1">
      <alignment horizontal="left"/>
    </xf>
    <xf numFmtId="0" fontId="9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7" fillId="0" borderId="0" xfId="1" applyNumberFormat="1" applyFont="1" applyFill="1" applyBorder="1" applyAlignment="1">
      <alignment horizontal="left"/>
    </xf>
    <xf numFmtId="0" fontId="7" fillId="0" borderId="0" xfId="1" applyFill="1"/>
    <xf numFmtId="0" fontId="7" fillId="0" borderId="0" xfId="1" applyFont="1" applyFill="1"/>
    <xf numFmtId="0" fontId="8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5" fillId="0" borderId="0" xfId="0" applyFont="1"/>
    <xf numFmtId="0" fontId="7" fillId="0" borderId="0" xfId="1" applyFont="1"/>
    <xf numFmtId="0" fontId="14" fillId="2" borderId="0" xfId="5" applyFont="1" applyFill="1"/>
    <xf numFmtId="0" fontId="7" fillId="2" borderId="0" xfId="5" applyFont="1" applyFill="1"/>
    <xf numFmtId="0" fontId="9" fillId="0" borderId="0" xfId="1" applyFont="1"/>
    <xf numFmtId="0" fontId="6" fillId="0" borderId="0" xfId="1" applyFont="1"/>
    <xf numFmtId="0" fontId="7" fillId="0" borderId="0" xfId="1"/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6" fillId="2" borderId="0" xfId="1" applyFont="1" applyFill="1"/>
    <xf numFmtId="0" fontId="8" fillId="0" borderId="0" xfId="1" quotePrefix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quotePrefix="1" applyFont="1" applyAlignment="1"/>
    <xf numFmtId="0" fontId="8" fillId="0" borderId="0" xfId="1" applyFont="1"/>
    <xf numFmtId="164" fontId="6" fillId="0" borderId="0" xfId="1" applyNumberFormat="1" applyFont="1"/>
    <xf numFmtId="0" fontId="8" fillId="0" borderId="0" xfId="1" quotePrefix="1" applyFont="1" applyFill="1" applyAlignment="1">
      <alignment horizontal="center"/>
    </xf>
    <xf numFmtId="10" fontId="6" fillId="2" borderId="0" xfId="1" applyNumberFormat="1" applyFont="1" applyFill="1"/>
    <xf numFmtId="10" fontId="6" fillId="0" borderId="0" xfId="1" applyNumberFormat="1" applyFont="1"/>
    <xf numFmtId="10" fontId="6" fillId="0" borderId="0" xfId="1" applyNumberFormat="1" applyFont="1" applyFill="1"/>
    <xf numFmtId="10" fontId="7" fillId="0" borderId="0" xfId="1" applyNumberFormat="1" applyFont="1" applyFill="1"/>
    <xf numFmtId="0" fontId="7" fillId="0" borderId="0" xfId="1" quotePrefix="1" applyFont="1" applyFill="1" applyAlignment="1"/>
    <xf numFmtId="164" fontId="6" fillId="0" borderId="0" xfId="1" applyNumberFormat="1" applyFont="1" applyFill="1"/>
    <xf numFmtId="164" fontId="10" fillId="0" borderId="0" xfId="1" applyNumberFormat="1" applyFont="1"/>
    <xf numFmtId="0" fontId="6" fillId="0" borderId="0" xfId="1" applyFont="1" applyAlignment="1">
      <alignment horizontal="right"/>
    </xf>
    <xf numFmtId="164" fontId="7" fillId="0" borderId="0" xfId="1" applyNumberFormat="1"/>
    <xf numFmtId="0" fontId="7" fillId="0" borderId="0" xfId="1" applyFont="1" applyAlignment="1">
      <alignment horizontal="right"/>
    </xf>
    <xf numFmtId="0" fontId="7" fillId="0" borderId="0" xfId="1" quotePrefix="1" applyFont="1" applyAlignment="1">
      <alignment horizontal="right"/>
    </xf>
    <xf numFmtId="0" fontId="7" fillId="0" borderId="0" xfId="1" applyFont="1" applyAlignment="1">
      <alignment horizontal="left" indent="1"/>
    </xf>
    <xf numFmtId="164" fontId="11" fillId="0" borderId="0" xfId="1" applyNumberFormat="1" applyFont="1" applyFill="1"/>
    <xf numFmtId="169" fontId="6" fillId="0" borderId="0" xfId="1" applyNumberFormat="1" applyFont="1" applyFill="1"/>
    <xf numFmtId="164" fontId="10" fillId="0" borderId="0" xfId="1" applyNumberFormat="1" applyFont="1" applyFill="1"/>
    <xf numFmtId="0" fontId="12" fillId="0" borderId="0" xfId="1" applyFont="1" applyAlignment="1">
      <alignment horizontal="center"/>
    </xf>
    <xf numFmtId="0" fontId="7" fillId="0" borderId="0" xfId="1" applyAlignment="1">
      <alignment horizontal="left" indent="1"/>
    </xf>
    <xf numFmtId="0" fontId="7" fillId="0" borderId="0" xfId="1" applyFont="1" applyAlignment="1">
      <alignment horizontal="left"/>
    </xf>
    <xf numFmtId="3" fontId="6" fillId="2" borderId="0" xfId="1" applyNumberFormat="1" applyFont="1" applyFill="1"/>
    <xf numFmtId="3" fontId="10" fillId="2" borderId="0" xfId="1" applyNumberFormat="1" applyFont="1" applyFill="1"/>
    <xf numFmtId="167" fontId="6" fillId="0" borderId="0" xfId="1" applyNumberFormat="1" applyFont="1"/>
    <xf numFmtId="0" fontId="7" fillId="0" borderId="0" xfId="1" applyFill="1" applyAlignment="1">
      <alignment horizontal="left" indent="1"/>
    </xf>
    <xf numFmtId="0" fontId="9" fillId="0" borderId="0" xfId="1" applyFont="1" applyAlignment="1">
      <alignment horizontal="left"/>
    </xf>
    <xf numFmtId="169" fontId="6" fillId="0" borderId="0" xfId="1" applyNumberFormat="1" applyFont="1"/>
    <xf numFmtId="0" fontId="9" fillId="0" borderId="0" xfId="1" applyFont="1" applyFill="1"/>
    <xf numFmtId="0" fontId="16" fillId="0" borderId="0" xfId="7" applyFont="1"/>
    <xf numFmtId="0" fontId="5" fillId="0" borderId="0" xfId="7" applyFont="1"/>
    <xf numFmtId="0" fontId="2" fillId="0" borderId="0" xfId="7" applyFont="1"/>
    <xf numFmtId="0" fontId="2" fillId="0" borderId="2" xfId="7" applyFont="1" applyBorder="1"/>
    <xf numFmtId="166" fontId="2" fillId="0" borderId="0" xfId="7" applyNumberFormat="1" applyFont="1"/>
    <xf numFmtId="0" fontId="2" fillId="0" borderId="4" xfId="7" applyFont="1" applyBorder="1" applyAlignment="1">
      <alignment horizontal="center"/>
    </xf>
    <xf numFmtId="0" fontId="2" fillId="0" borderId="0" xfId="7" applyFont="1" applyBorder="1"/>
    <xf numFmtId="0" fontId="2" fillId="0" borderId="0" xfId="7" applyFont="1" applyFill="1" applyBorder="1" applyAlignment="1">
      <alignment horizontal="center" wrapText="1"/>
    </xf>
    <xf numFmtId="0" fontId="2" fillId="0" borderId="0" xfId="7" applyFont="1" applyBorder="1" applyAlignment="1">
      <alignment horizontal="center" wrapText="1"/>
    </xf>
    <xf numFmtId="41" fontId="2" fillId="0" borderId="0" xfId="7" applyNumberFormat="1" applyFont="1"/>
    <xf numFmtId="41" fontId="2" fillId="0" borderId="0" xfId="7" applyNumberFormat="1" applyFont="1" applyBorder="1"/>
    <xf numFmtId="166" fontId="2" fillId="0" borderId="0" xfId="12" applyNumberFormat="1" applyFont="1"/>
    <xf numFmtId="43" fontId="2" fillId="0" borderId="0" xfId="7" applyNumberFormat="1" applyFont="1" applyBorder="1"/>
    <xf numFmtId="0" fontId="2" fillId="0" borderId="0" xfId="7" applyFont="1" applyBorder="1" applyAlignment="1">
      <alignment horizontal="left" indent="1"/>
    </xf>
    <xf numFmtId="38" fontId="2" fillId="0" borderId="0" xfId="7" applyNumberFormat="1" applyFont="1" applyFill="1" applyBorder="1"/>
    <xf numFmtId="38" fontId="2" fillId="0" borderId="0" xfId="7" applyNumberFormat="1" applyFont="1" applyBorder="1"/>
    <xf numFmtId="43" fontId="2" fillId="0" borderId="0" xfId="7" applyNumberFormat="1" applyFont="1"/>
    <xf numFmtId="170" fontId="2" fillId="0" borderId="8" xfId="7" applyNumberFormat="1" applyFont="1" applyBorder="1" applyAlignment="1">
      <alignment horizontal="centerContinuous"/>
    </xf>
    <xf numFmtId="0" fontId="2" fillId="0" borderId="9" xfId="7" applyFont="1" applyBorder="1" applyAlignment="1">
      <alignment horizontal="centerContinuous"/>
    </xf>
    <xf numFmtId="0" fontId="2" fillId="0" borderId="10" xfId="7" applyFont="1" applyBorder="1" applyAlignment="1">
      <alignment horizontal="centerContinuous"/>
    </xf>
    <xf numFmtId="170" fontId="2" fillId="0" borderId="0" xfId="7" applyNumberFormat="1" applyFont="1"/>
    <xf numFmtId="0" fontId="2" fillId="0" borderId="0" xfId="7" applyFont="1" applyBorder="1" applyAlignment="1">
      <alignment horizontal="center"/>
    </xf>
    <xf numFmtId="0" fontId="2" fillId="0" borderId="0" xfId="7" applyFont="1" applyAlignment="1">
      <alignment horizontal="center"/>
    </xf>
    <xf numFmtId="10" fontId="2" fillId="0" borderId="0" xfId="7" applyNumberFormat="1" applyFont="1"/>
    <xf numFmtId="166" fontId="16" fillId="0" borderId="0" xfId="8" applyNumberFormat="1" applyFont="1"/>
    <xf numFmtId="166" fontId="16" fillId="0" borderId="0" xfId="8" applyNumberFormat="1" applyFont="1" applyFill="1"/>
    <xf numFmtId="41" fontId="16" fillId="0" borderId="0" xfId="11" applyFont="1" applyFill="1" applyBorder="1"/>
    <xf numFmtId="41" fontId="16" fillId="0" borderId="0" xfId="11" applyFont="1" applyBorder="1"/>
    <xf numFmtId="43" fontId="16" fillId="0" borderId="0" xfId="8" applyFont="1" applyBorder="1"/>
    <xf numFmtId="0" fontId="16" fillId="0" borderId="0" xfId="7" applyFont="1" applyAlignment="1">
      <alignment horizontal="center" vertical="center"/>
    </xf>
    <xf numFmtId="0" fontId="16" fillId="0" borderId="3" xfId="7" applyFont="1" applyBorder="1" applyAlignment="1">
      <alignment horizontal="center" vertical="center"/>
    </xf>
    <xf numFmtId="0" fontId="22" fillId="0" borderId="3" xfId="7" applyFont="1" applyBorder="1" applyAlignment="1">
      <alignment horizontal="center" vertical="center" wrapText="1"/>
    </xf>
    <xf numFmtId="166" fontId="22" fillId="0" borderId="3" xfId="7" applyNumberFormat="1" applyFont="1" applyBorder="1" applyAlignment="1">
      <alignment horizontal="center" vertical="center" wrapText="1"/>
    </xf>
    <xf numFmtId="0" fontId="16" fillId="0" borderId="0" xfId="7" applyFont="1" applyAlignment="1">
      <alignment horizontal="center"/>
    </xf>
    <xf numFmtId="0" fontId="22" fillId="0" borderId="0" xfId="7" applyFont="1" applyBorder="1"/>
    <xf numFmtId="166" fontId="16" fillId="0" borderId="0" xfId="7" applyNumberFormat="1" applyFont="1" applyBorder="1"/>
    <xf numFmtId="168" fontId="16" fillId="0" borderId="0" xfId="7" applyNumberFormat="1" applyFont="1" applyBorder="1" applyAlignment="1">
      <alignment horizontal="left" indent="3"/>
    </xf>
    <xf numFmtId="0" fontId="16" fillId="0" borderId="0" xfId="7" applyFont="1" applyBorder="1" applyAlignment="1">
      <alignment horizontal="left" indent="2"/>
    </xf>
    <xf numFmtId="166" fontId="16" fillId="0" borderId="0" xfId="8" applyNumberFormat="1" applyFont="1" applyBorder="1" applyAlignment="1">
      <alignment horizontal="left" indent="2"/>
    </xf>
    <xf numFmtId="168" fontId="16" fillId="0" borderId="0" xfId="7" applyNumberFormat="1" applyFont="1" applyBorder="1" applyAlignment="1">
      <alignment horizontal="center"/>
    </xf>
    <xf numFmtId="168" fontId="16" fillId="0" borderId="5" xfId="7" applyNumberFormat="1" applyFont="1" applyBorder="1" applyAlignment="1">
      <alignment horizontal="center"/>
    </xf>
    <xf numFmtId="0" fontId="22" fillId="0" borderId="0" xfId="7" applyFont="1" applyBorder="1" applyAlignment="1">
      <alignment horizontal="left" wrapText="1"/>
    </xf>
    <xf numFmtId="42" fontId="16" fillId="0" borderId="0" xfId="7" applyNumberFormat="1" applyFont="1" applyBorder="1"/>
    <xf numFmtId="0" fontId="16" fillId="0" borderId="0" xfId="7" applyFont="1" applyBorder="1" applyAlignment="1">
      <alignment horizontal="left"/>
    </xf>
    <xf numFmtId="41" fontId="16" fillId="0" borderId="0" xfId="7" applyNumberFormat="1" applyFont="1" applyBorder="1"/>
    <xf numFmtId="0" fontId="22" fillId="0" borderId="0" xfId="7" applyFont="1" applyBorder="1" applyAlignment="1">
      <alignment horizontal="left"/>
    </xf>
    <xf numFmtId="0" fontId="16" fillId="0" borderId="0" xfId="7" applyFont="1" applyBorder="1" applyAlignment="1">
      <alignment horizontal="center"/>
    </xf>
    <xf numFmtId="172" fontId="16" fillId="0" borderId="0" xfId="8" applyNumberFormat="1" applyFont="1"/>
    <xf numFmtId="10" fontId="16" fillId="0" borderId="0" xfId="7" applyNumberFormat="1" applyFont="1" applyBorder="1" applyAlignment="1">
      <alignment horizontal="center"/>
    </xf>
    <xf numFmtId="166" fontId="16" fillId="0" borderId="5" xfId="8" applyNumberFormat="1" applyFont="1" applyBorder="1" applyAlignment="1">
      <alignment horizontal="left" indent="2"/>
    </xf>
    <xf numFmtId="5" fontId="16" fillId="0" borderId="0" xfId="7" applyNumberFormat="1" applyFont="1" applyBorder="1"/>
    <xf numFmtId="0" fontId="16" fillId="0" borderId="0" xfId="7" applyFont="1" applyBorder="1" applyAlignment="1">
      <alignment horizontal="right" wrapText="1"/>
    </xf>
    <xf numFmtId="0" fontId="22" fillId="0" borderId="6" xfId="7" applyFont="1" applyBorder="1" applyAlignment="1">
      <alignment horizontal="left" vertical="center" wrapText="1"/>
    </xf>
    <xf numFmtId="5" fontId="22" fillId="0" borderId="6" xfId="7" applyNumberFormat="1" applyFont="1" applyBorder="1" applyAlignment="1">
      <alignment vertical="center"/>
    </xf>
    <xf numFmtId="168" fontId="22" fillId="0" borderId="6" xfId="7" applyNumberFormat="1" applyFont="1" applyBorder="1" applyAlignment="1">
      <alignment horizontal="center" vertical="center"/>
    </xf>
    <xf numFmtId="10" fontId="16" fillId="0" borderId="0" xfId="7" applyNumberFormat="1" applyFont="1" applyBorder="1" applyAlignment="1">
      <alignment horizontal="left" indent="3"/>
    </xf>
    <xf numFmtId="0" fontId="16" fillId="0" borderId="0" xfId="7" applyFont="1" applyBorder="1" applyAlignment="1">
      <alignment horizontal="left" wrapText="1"/>
    </xf>
    <xf numFmtId="0" fontId="22" fillId="0" borderId="6" xfId="7" applyFont="1" applyBorder="1" applyAlignment="1">
      <alignment vertical="center" wrapText="1"/>
    </xf>
    <xf numFmtId="42" fontId="22" fillId="0" borderId="6" xfId="7" applyNumberFormat="1" applyFont="1" applyBorder="1" applyAlignment="1">
      <alignment vertical="center"/>
    </xf>
    <xf numFmtId="0" fontId="16" fillId="0" borderId="0" xfId="7" applyFont="1" applyBorder="1"/>
    <xf numFmtId="166" fontId="16" fillId="0" borderId="0" xfId="7" applyNumberFormat="1" applyFont="1"/>
    <xf numFmtId="0" fontId="22" fillId="0" borderId="7" xfId="7" applyFont="1" applyBorder="1" applyAlignment="1">
      <alignment vertical="center" wrapText="1"/>
    </xf>
    <xf numFmtId="42" fontId="22" fillId="0" borderId="7" xfId="7" applyNumberFormat="1" applyFont="1" applyBorder="1" applyAlignment="1">
      <alignment vertical="center"/>
    </xf>
    <xf numFmtId="168" fontId="22" fillId="0" borderId="7" xfId="7" applyNumberFormat="1" applyFont="1" applyBorder="1" applyAlignment="1">
      <alignment horizontal="center" vertical="center"/>
    </xf>
    <xf numFmtId="41" fontId="16" fillId="0" borderId="0" xfId="7" applyNumberFormat="1" applyFont="1"/>
    <xf numFmtId="171" fontId="16" fillId="0" borderId="0" xfId="7" applyNumberFormat="1" applyFont="1" applyBorder="1" applyAlignment="1">
      <alignment horizontal="center"/>
    </xf>
    <xf numFmtId="171" fontId="16" fillId="0" borderId="5" xfId="7" applyNumberFormat="1" applyFont="1" applyBorder="1" applyAlignment="1">
      <alignment horizontal="center"/>
    </xf>
    <xf numFmtId="10" fontId="16" fillId="0" borderId="0" xfId="10" applyNumberFormat="1" applyFont="1"/>
    <xf numFmtId="0" fontId="1" fillId="0" borderId="0" xfId="0" applyFont="1"/>
    <xf numFmtId="0" fontId="17" fillId="3" borderId="1" xfId="9" applyFont="1"/>
    <xf numFmtId="0" fontId="1" fillId="3" borderId="1" xfId="9" applyFont="1"/>
    <xf numFmtId="0" fontId="16" fillId="0" borderId="0" xfId="0" applyFont="1"/>
    <xf numFmtId="0" fontId="1" fillId="0" borderId="0" xfId="0" applyFont="1" applyFill="1" applyAlignment="1">
      <alignment horizontal="right"/>
    </xf>
    <xf numFmtId="0" fontId="5" fillId="0" borderId="0" xfId="0" quotePrefix="1" applyFont="1" applyFill="1" applyAlignment="1">
      <alignment horizontal="center"/>
    </xf>
    <xf numFmtId="0" fontId="19" fillId="0" borderId="0" xfId="0" quotePrefix="1" applyFont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2" fillId="0" borderId="0" xfId="0" applyFont="1" applyFill="1" applyAlignment="1">
      <alignment horizontal="center"/>
    </xf>
    <xf numFmtId="0" fontId="19" fillId="0" borderId="0" xfId="0" applyFont="1"/>
    <xf numFmtId="0" fontId="22" fillId="0" borderId="0" xfId="0" quotePrefix="1" applyFont="1" applyAlignment="1">
      <alignment horizontal="center"/>
    </xf>
    <xf numFmtId="0" fontId="22" fillId="0" borderId="0" xfId="0" applyFont="1" applyAlignment="1">
      <alignment horizontal="center"/>
    </xf>
    <xf numFmtId="17" fontId="16" fillId="0" borderId="0" xfId="1" quotePrefix="1" applyNumberFormat="1" applyFont="1" applyFill="1" applyBorder="1" applyAlignment="1">
      <alignment horizontal="left"/>
    </xf>
    <xf numFmtId="164" fontId="17" fillId="3" borderId="1" xfId="9" applyNumberFormat="1" applyFont="1"/>
    <xf numFmtId="164" fontId="1" fillId="0" borderId="0" xfId="0" applyNumberFormat="1" applyFont="1"/>
    <xf numFmtId="0" fontId="16" fillId="0" borderId="0" xfId="1" quotePrefix="1" applyFont="1" applyFill="1" applyBorder="1" applyAlignment="1">
      <alignment horizontal="left"/>
    </xf>
    <xf numFmtId="164" fontId="1" fillId="0" borderId="0" xfId="0" applyNumberFormat="1" applyFont="1" applyFill="1"/>
    <xf numFmtId="0" fontId="16" fillId="0" borderId="0" xfId="1" quotePrefix="1" applyNumberFormat="1" applyFont="1" applyFill="1" applyBorder="1" applyAlignment="1">
      <alignment horizontal="left"/>
    </xf>
    <xf numFmtId="164" fontId="17" fillId="3" borderId="13" xfId="9" applyNumberFormat="1" applyFont="1" applyBorder="1"/>
    <xf numFmtId="164" fontId="1" fillId="0" borderId="5" xfId="0" applyNumberFormat="1" applyFont="1" applyFill="1" applyBorder="1"/>
    <xf numFmtId="164" fontId="1" fillId="0" borderId="5" xfId="0" applyNumberFormat="1" applyFont="1" applyBorder="1"/>
    <xf numFmtId="0" fontId="22" fillId="0" borderId="0" xfId="0" applyFont="1"/>
    <xf numFmtId="0" fontId="1" fillId="0" borderId="0" xfId="0" applyFont="1" applyFill="1"/>
    <xf numFmtId="0" fontId="16" fillId="0" borderId="0" xfId="0" applyFont="1" applyFill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16" fillId="0" borderId="0" xfId="0" quotePrefix="1" applyNumberFormat="1" applyFont="1" applyFill="1" applyBorder="1" applyAlignment="1">
      <alignment horizontal="left"/>
    </xf>
    <xf numFmtId="164" fontId="23" fillId="0" borderId="0" xfId="0" applyNumberFormat="1" applyFont="1"/>
    <xf numFmtId="0" fontId="22" fillId="0" borderId="0" xfId="1" applyNumberFormat="1" applyFont="1" applyFill="1" applyBorder="1" applyAlignment="1">
      <alignment horizontal="left"/>
    </xf>
    <xf numFmtId="0" fontId="16" fillId="0" borderId="0" xfId="1" applyNumberFormat="1" applyFont="1" applyFill="1" applyBorder="1" applyAlignment="1">
      <alignment horizontal="right"/>
    </xf>
    <xf numFmtId="164" fontId="16" fillId="0" borderId="0" xfId="3" applyNumberFormat="1" applyFont="1" applyFill="1" applyBorder="1" applyAlignment="1">
      <alignment horizontal="right"/>
    </xf>
    <xf numFmtId="166" fontId="16" fillId="0" borderId="0" xfId="1" quotePrefix="1" applyNumberFormat="1" applyFont="1" applyFill="1" applyBorder="1" applyAlignment="1">
      <alignment horizontal="left" indent="1"/>
    </xf>
    <xf numFmtId="166" fontId="16" fillId="0" borderId="0" xfId="1" applyNumberFormat="1" applyFont="1" applyFill="1" applyBorder="1" applyAlignment="1">
      <alignment horizontal="left" indent="1"/>
    </xf>
    <xf numFmtId="0" fontId="16" fillId="0" borderId="0" xfId="1" applyFont="1" applyBorder="1" applyAlignment="1"/>
    <xf numFmtId="166" fontId="16" fillId="0" borderId="0" xfId="3" applyNumberFormat="1" applyFont="1" applyFill="1" applyBorder="1" applyAlignment="1">
      <alignment horizontal="right"/>
    </xf>
    <xf numFmtId="166" fontId="16" fillId="0" borderId="0" xfId="1" applyNumberFormat="1" applyFont="1" applyFill="1" applyBorder="1" applyAlignment="1">
      <alignment horizontal="right"/>
    </xf>
    <xf numFmtId="0" fontId="16" fillId="0" borderId="0" xfId="0" applyFont="1" applyAlignment="1">
      <alignment horizontal="left" indent="1"/>
    </xf>
    <xf numFmtId="166" fontId="22" fillId="0" borderId="0" xfId="3" applyNumberFormat="1" applyFont="1" applyFill="1" applyBorder="1" applyAlignment="1">
      <alignment horizontal="center"/>
    </xf>
    <xf numFmtId="0" fontId="22" fillId="0" borderId="0" xfId="1" applyFont="1" applyAlignment="1">
      <alignment horizontal="center"/>
    </xf>
    <xf numFmtId="0" fontId="16" fillId="0" borderId="0" xfId="1" applyFont="1" applyBorder="1"/>
    <xf numFmtId="3" fontId="16" fillId="0" borderId="0" xfId="1" applyNumberFormat="1" applyFont="1" applyFill="1" applyBorder="1" applyAlignment="1">
      <alignment horizontal="left" indent="1"/>
    </xf>
    <xf numFmtId="0" fontId="16" fillId="0" borderId="0" xfId="1" applyNumberFormat="1" applyFont="1" applyFill="1" applyBorder="1" applyAlignment="1">
      <alignment horizontal="left"/>
    </xf>
    <xf numFmtId="0" fontId="16" fillId="0" borderId="0" xfId="0" applyFont="1" applyFill="1" applyAlignment="1">
      <alignment horizontal="left" indent="1"/>
    </xf>
    <xf numFmtId="1" fontId="16" fillId="0" borderId="0" xfId="1" applyNumberFormat="1" applyFont="1" applyFill="1" applyBorder="1" applyAlignment="1">
      <alignment horizontal="center"/>
    </xf>
    <xf numFmtId="3" fontId="16" fillId="0" borderId="0" xfId="1" applyNumberFormat="1" applyFont="1" applyFill="1" applyBorder="1" applyAlignment="1"/>
    <xf numFmtId="37" fontId="16" fillId="0" borderId="0" xfId="4" applyNumberFormat="1" applyFont="1" applyFill="1" applyAlignment="1">
      <alignment horizontal="left" indent="1"/>
    </xf>
    <xf numFmtId="0" fontId="16" fillId="0" borderId="0" xfId="1" applyFont="1" applyBorder="1" applyAlignment="1">
      <alignment horizontal="right"/>
    </xf>
    <xf numFmtId="164" fontId="16" fillId="0" borderId="0" xfId="0" applyNumberFormat="1" applyFont="1" applyFill="1"/>
    <xf numFmtId="0" fontId="22" fillId="0" borderId="0" xfId="0" applyFont="1" applyFill="1"/>
    <xf numFmtId="0" fontId="19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2" fontId="16" fillId="0" borderId="0" xfId="0" quotePrefix="1" applyNumberFormat="1" applyFont="1" applyAlignment="1">
      <alignment horizontal="center"/>
    </xf>
    <xf numFmtId="5" fontId="16" fillId="0" borderId="0" xfId="0" quotePrefix="1" applyNumberFormat="1" applyFont="1" applyAlignment="1">
      <alignment horizontal="center"/>
    </xf>
    <xf numFmtId="0" fontId="22" fillId="0" borderId="0" xfId="0" quotePrefix="1" applyFont="1" applyFill="1"/>
    <xf numFmtId="164" fontId="16" fillId="0" borderId="0" xfId="0" quotePrefix="1" applyNumberFormat="1" applyFont="1" applyAlignment="1">
      <alignment horizontal="center"/>
    </xf>
    <xf numFmtId="0" fontId="22" fillId="0" borderId="0" xfId="0" quotePrefix="1" applyFont="1" applyFill="1" applyAlignment="1">
      <alignment horizontal="center"/>
    </xf>
    <xf numFmtId="168" fontId="16" fillId="0" borderId="0" xfId="0" quotePrefix="1" applyNumberFormat="1" applyFont="1" applyAlignment="1">
      <alignment horizontal="right"/>
    </xf>
    <xf numFmtId="164" fontId="16" fillId="0" borderId="0" xfId="0" applyNumberFormat="1" applyFont="1"/>
    <xf numFmtId="10" fontId="16" fillId="0" borderId="0" xfId="0" applyNumberFormat="1" applyFont="1" applyFill="1"/>
    <xf numFmtId="0" fontId="18" fillId="0" borderId="0" xfId="0" applyFont="1"/>
    <xf numFmtId="0" fontId="24" fillId="0" borderId="0" xfId="0" applyFont="1" applyFill="1" applyAlignment="1">
      <alignment horizontal="left" vertical="center"/>
    </xf>
    <xf numFmtId="0" fontId="16" fillId="0" borderId="0" xfId="0" applyFont="1" applyFill="1" applyAlignment="1"/>
    <xf numFmtId="0" fontId="16" fillId="0" borderId="0" xfId="0" quotePrefix="1" applyFont="1" applyFill="1" applyAlignment="1">
      <alignment horizontal="left"/>
    </xf>
    <xf numFmtId="0" fontId="1" fillId="0" borderId="2" xfId="0" applyFont="1" applyBorder="1"/>
    <xf numFmtId="164" fontId="17" fillId="3" borderId="14" xfId="9" applyNumberFormat="1" applyFont="1" applyBorder="1"/>
    <xf numFmtId="164" fontId="1" fillId="0" borderId="11" xfId="0" applyNumberFormat="1" applyFont="1" applyBorder="1"/>
    <xf numFmtId="0" fontId="5" fillId="0" borderId="0" xfId="0" applyFont="1" applyAlignment="1">
      <alignment horizontal="center"/>
    </xf>
    <xf numFmtId="167" fontId="16" fillId="0" borderId="0" xfId="3" applyNumberFormat="1" applyFont="1" applyFill="1" applyBorder="1" applyAlignment="1">
      <alignment horizontal="right"/>
    </xf>
    <xf numFmtId="164" fontId="16" fillId="0" borderId="11" xfId="3" applyNumberFormat="1" applyFont="1" applyFill="1" applyBorder="1" applyAlignment="1">
      <alignment horizontal="right"/>
    </xf>
    <xf numFmtId="0" fontId="22" fillId="0" borderId="0" xfId="1" applyNumberFormat="1" applyFont="1" applyFill="1" applyBorder="1" applyAlignment="1">
      <alignment horizontal="center"/>
    </xf>
    <xf numFmtId="0" fontId="22" fillId="0" borderId="0" xfId="1" applyFont="1" applyBorder="1" applyAlignment="1">
      <alignment horizontal="center"/>
    </xf>
    <xf numFmtId="0" fontId="22" fillId="0" borderId="0" xfId="1" applyFont="1" applyFill="1" applyBorder="1" applyAlignment="1">
      <alignment horizontal="center"/>
    </xf>
    <xf numFmtId="3" fontId="22" fillId="0" borderId="0" xfId="1" applyNumberFormat="1" applyFont="1" applyFill="1" applyBorder="1" applyAlignment="1">
      <alignment horizontal="center"/>
    </xf>
    <xf numFmtId="164" fontId="17" fillId="3" borderId="1" xfId="9" quotePrefix="1" applyNumberFormat="1" applyFont="1" applyAlignment="1">
      <alignment horizontal="right"/>
    </xf>
    <xf numFmtId="5" fontId="16" fillId="0" borderId="11" xfId="0" quotePrefix="1" applyNumberFormat="1" applyFont="1" applyBorder="1" applyAlignment="1">
      <alignment horizontal="center"/>
    </xf>
    <xf numFmtId="164" fontId="16" fillId="0" borderId="11" xfId="0" quotePrefix="1" applyNumberFormat="1" applyFont="1" applyBorder="1" applyAlignment="1">
      <alignment horizontal="center"/>
    </xf>
    <xf numFmtId="164" fontId="16" fillId="0" borderId="11" xfId="0" applyNumberFormat="1" applyFont="1" applyFill="1" applyBorder="1"/>
    <xf numFmtId="0" fontId="1" fillId="0" borderId="0" xfId="0" quotePrefix="1" applyFont="1"/>
    <xf numFmtId="0" fontId="16" fillId="0" borderId="0" xfId="0" quotePrefix="1" applyFont="1" applyAlignment="1"/>
    <xf numFmtId="0" fontId="18" fillId="0" borderId="0" xfId="0" applyFont="1" applyFill="1"/>
    <xf numFmtId="0" fontId="1" fillId="0" borderId="0" xfId="0" applyFont="1" applyFill="1" applyAlignment="1">
      <alignment horizontal="left" inden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indent="1"/>
    </xf>
    <xf numFmtId="0" fontId="16" fillId="0" borderId="0" xfId="1" applyFont="1"/>
    <xf numFmtId="0" fontId="16" fillId="0" borderId="0" xfId="0" quotePrefix="1" applyFont="1" applyFill="1" applyAlignment="1">
      <alignment horizontal="center"/>
    </xf>
    <xf numFmtId="0" fontId="16" fillId="0" borderId="0" xfId="1" applyFont="1" applyFill="1" applyBorder="1" applyAlignment="1"/>
    <xf numFmtId="0" fontId="22" fillId="0" borderId="0" xfId="1" applyFont="1" applyFill="1" applyAlignment="1">
      <alignment horizontal="center"/>
    </xf>
    <xf numFmtId="3" fontId="16" fillId="0" borderId="0" xfId="1" applyNumberFormat="1" applyFont="1" applyFill="1" applyBorder="1" applyAlignment="1">
      <alignment horizontal="left"/>
    </xf>
    <xf numFmtId="0" fontId="19" fillId="0" borderId="0" xfId="1" applyFont="1" applyFill="1" applyAlignment="1">
      <alignment horizontal="center"/>
    </xf>
    <xf numFmtId="168" fontId="16" fillId="0" borderId="0" xfId="6" applyNumberFormat="1" applyFont="1" applyFill="1"/>
    <xf numFmtId="0" fontId="24" fillId="0" borderId="0" xfId="0" applyFont="1" applyFill="1" applyAlignment="1">
      <alignment horizontal="left" vertical="center" indent="1"/>
    </xf>
    <xf numFmtId="0" fontId="16" fillId="0" borderId="0" xfId="1" applyFont="1" applyFill="1"/>
    <xf numFmtId="0" fontId="16" fillId="0" borderId="0" xfId="1" applyFont="1" applyFill="1" applyAlignment="1">
      <alignment horizontal="left" indent="1"/>
    </xf>
    <xf numFmtId="164" fontId="17" fillId="3" borderId="12" xfId="9" applyNumberFormat="1" applyFont="1" applyBorder="1"/>
    <xf numFmtId="0" fontId="16" fillId="0" borderId="4" xfId="0" applyFont="1" applyBorder="1"/>
    <xf numFmtId="0" fontId="16" fillId="0" borderId="4" xfId="0" applyFont="1" applyFill="1" applyBorder="1" applyAlignment="1">
      <alignment horizontal="center"/>
    </xf>
    <xf numFmtId="0" fontId="16" fillId="0" borderId="4" xfId="0" quotePrefix="1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0" xfId="0" applyFont="1" applyBorder="1"/>
    <xf numFmtId="0" fontId="1" fillId="0" borderId="4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center"/>
    </xf>
    <xf numFmtId="0" fontId="1" fillId="0" borderId="4" xfId="0" applyFont="1" applyBorder="1"/>
    <xf numFmtId="0" fontId="1" fillId="0" borderId="4" xfId="0" applyFont="1" applyFill="1" applyBorder="1"/>
    <xf numFmtId="164" fontId="17" fillId="3" borderId="1" xfId="9" applyNumberFormat="1" applyFont="1" applyAlignment="1">
      <alignment horizontal="right"/>
    </xf>
    <xf numFmtId="0" fontId="1" fillId="0" borderId="4" xfId="0" applyFont="1" applyBorder="1" applyAlignment="1">
      <alignment horizontal="center"/>
    </xf>
    <xf numFmtId="0" fontId="16" fillId="0" borderId="2" xfId="0" applyFont="1" applyBorder="1"/>
    <xf numFmtId="0" fontId="22" fillId="0" borderId="2" xfId="0" applyFont="1" applyBorder="1"/>
    <xf numFmtId="0" fontId="22" fillId="0" borderId="2" xfId="7" applyFont="1" applyBorder="1" applyAlignment="1">
      <alignment horizontal="center"/>
    </xf>
    <xf numFmtId="0" fontId="20" fillId="0" borderId="0" xfId="7" applyFont="1" applyAlignment="1" applyProtection="1">
      <alignment horizontal="center"/>
    </xf>
    <xf numFmtId="0" fontId="21" fillId="0" borderId="0" xfId="7" applyFont="1" applyAlignment="1" applyProtection="1">
      <alignment horizontal="center"/>
    </xf>
    <xf numFmtId="17" fontId="22" fillId="0" borderId="0" xfId="7" quotePrefix="1" applyNumberFormat="1" applyFont="1" applyAlignment="1" applyProtection="1">
      <alignment horizontal="center"/>
    </xf>
    <xf numFmtId="0" fontId="22" fillId="0" borderId="0" xfId="7" applyFont="1" applyAlignment="1" applyProtection="1">
      <alignment horizontal="center"/>
    </xf>
    <xf numFmtId="0" fontId="16" fillId="0" borderId="0" xfId="7" applyFont="1" applyAlignment="1">
      <alignment horizontal="center"/>
    </xf>
    <xf numFmtId="0" fontId="16" fillId="0" borderId="0" xfId="7" applyFont="1" applyFill="1"/>
    <xf numFmtId="0" fontId="19" fillId="0" borderId="0" xfId="7" applyFont="1" applyFill="1" applyAlignment="1">
      <alignment horizontal="center"/>
    </xf>
    <xf numFmtId="170" fontId="16" fillId="0" borderId="0" xfId="7" applyNumberFormat="1" applyFont="1" applyFill="1" applyAlignment="1">
      <alignment horizontal="center"/>
    </xf>
    <xf numFmtId="0" fontId="22" fillId="0" borderId="0" xfId="7" applyFont="1" applyFill="1"/>
    <xf numFmtId="166" fontId="16" fillId="0" borderId="0" xfId="7" applyNumberFormat="1" applyFont="1" applyFill="1"/>
    <xf numFmtId="41" fontId="16" fillId="0" borderId="0" xfId="7" applyNumberFormat="1" applyFont="1" applyFill="1" applyBorder="1"/>
    <xf numFmtId="41" fontId="16" fillId="0" borderId="5" xfId="7" applyNumberFormat="1" applyFont="1" applyFill="1" applyBorder="1"/>
    <xf numFmtId="41" fontId="17" fillId="0" borderId="0" xfId="7" applyNumberFormat="1" applyFont="1" applyFill="1" applyBorder="1"/>
    <xf numFmtId="41" fontId="17" fillId="0" borderId="5" xfId="7" applyNumberFormat="1" applyFont="1" applyFill="1" applyBorder="1"/>
    <xf numFmtId="166" fontId="16" fillId="0" borderId="0" xfId="9" applyNumberFormat="1" applyFont="1" applyFill="1" applyBorder="1"/>
    <xf numFmtId="166" fontId="16" fillId="0" borderId="0" xfId="12" applyNumberFormat="1" applyFont="1" applyFill="1" applyBorder="1"/>
    <xf numFmtId="10" fontId="16" fillId="0" borderId="0" xfId="6" applyNumberFormat="1" applyFont="1" applyFill="1" applyBorder="1"/>
    <xf numFmtId="10" fontId="16" fillId="0" borderId="0" xfId="13" applyNumberFormat="1" applyFont="1" applyFill="1" applyBorder="1"/>
    <xf numFmtId="0" fontId="5" fillId="0" borderId="2" xfId="7" applyFont="1" applyBorder="1"/>
    <xf numFmtId="166" fontId="16" fillId="0" borderId="0" xfId="13" applyNumberFormat="1" applyFont="1" applyFill="1" applyBorder="1"/>
    <xf numFmtId="166" fontId="2" fillId="0" borderId="15" xfId="12" applyNumberFormat="1" applyFont="1" applyBorder="1"/>
    <xf numFmtId="166" fontId="2" fillId="0" borderId="15" xfId="7" applyNumberFormat="1" applyFont="1" applyBorder="1"/>
    <xf numFmtId="166" fontId="2" fillId="0" borderId="5" xfId="7" applyNumberFormat="1" applyFont="1" applyBorder="1"/>
    <xf numFmtId="0" fontId="2" fillId="0" borderId="15" xfId="7" applyFont="1" applyBorder="1"/>
    <xf numFmtId="166" fontId="16" fillId="0" borderId="15" xfId="12" applyNumberFormat="1" applyFont="1" applyFill="1" applyBorder="1"/>
    <xf numFmtId="0" fontId="22" fillId="0" borderId="0" xfId="7" applyFont="1"/>
    <xf numFmtId="0" fontId="22" fillId="0" borderId="2" xfId="7" applyFont="1" applyBorder="1"/>
    <xf numFmtId="0" fontId="22" fillId="0" borderId="0" xfId="7" applyFont="1" applyFill="1" applyBorder="1"/>
    <xf numFmtId="0" fontId="16" fillId="0" borderId="0" xfId="7" applyFont="1" applyFill="1" applyBorder="1"/>
  </cellXfs>
  <cellStyles count="14">
    <cellStyle name="Comma" xfId="12" builtinId="3"/>
    <cellStyle name="Comma [0] 2" xfId="11"/>
    <cellStyle name="Comma 2" xfId="8"/>
    <cellStyle name="Comma 2 2 2" xfId="3"/>
    <cellStyle name="Normal" xfId="0" builtinId="0"/>
    <cellStyle name="Normal 2" xfId="7"/>
    <cellStyle name="Normal 2 2 2" xfId="1"/>
    <cellStyle name="Normal 6" xfId="2"/>
    <cellStyle name="Normal_2008 ISO Transmission Study test v1" xfId="5"/>
    <cellStyle name="Normal_Statement AD Period I 2004" xfId="4"/>
    <cellStyle name="Note" xfId="13" builtinId="10"/>
    <cellStyle name="Note 2" xfId="9"/>
    <cellStyle name="Percent" xfId="6" builtinId="5"/>
    <cellStyle name="Percent 2" xfId="10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12%202017\Schedules%206,%208,%20&amp;%2014\cap_input_Schedule_6_8_14%20-%20TO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6 ISO Study with Inc Plant"/>
      <sheetName val="2015 ISO Study with Inc Plant"/>
      <sheetName val="Accum Depr Calc"/>
      <sheetName val="Reserve Recon to FF1"/>
      <sheetName val="General &amp; Intangible Reser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P237"/>
  <sheetViews>
    <sheetView showGridLines="0" topLeftCell="G1" zoomScale="110" zoomScaleNormal="110" workbookViewId="0">
      <selection activeCell="K26" sqref="K26"/>
    </sheetView>
  </sheetViews>
  <sheetFormatPr defaultColWidth="8.85546875" defaultRowHeight="15" x14ac:dyDescent="0.25"/>
  <cols>
    <col min="1" max="1" width="8.85546875" style="121"/>
    <col min="2" max="2" width="4.7109375" style="121" customWidth="1"/>
    <col min="3" max="3" width="10.7109375" style="121" customWidth="1"/>
    <col min="4" max="6" width="13.7109375" style="121" customWidth="1"/>
    <col min="7" max="7" width="14.85546875" style="121" customWidth="1"/>
    <col min="8" max="8" width="14.5703125" style="121" customWidth="1"/>
    <col min="9" max="9" width="13.7109375" style="121" customWidth="1"/>
    <col min="10" max="10" width="14.85546875" style="121" customWidth="1"/>
    <col min="11" max="13" width="13.7109375" style="121" customWidth="1"/>
    <col min="14" max="14" width="15.7109375" style="121" customWidth="1"/>
    <col min="15" max="16384" width="8.85546875" style="121"/>
  </cols>
  <sheetData>
    <row r="2" spans="2:14" x14ac:dyDescent="0.25">
      <c r="B2" s="121" t="s">
        <v>234</v>
      </c>
    </row>
    <row r="3" spans="2:14" ht="15.75" thickBot="1" x14ac:dyDescent="0.3">
      <c r="B3" s="182" t="s">
        <v>0</v>
      </c>
      <c r="C3" s="182"/>
      <c r="D3" s="182"/>
      <c r="E3" s="182"/>
      <c r="F3" s="182"/>
      <c r="G3" s="118"/>
      <c r="H3" s="118"/>
      <c r="I3" s="118"/>
      <c r="J3" s="119" t="s">
        <v>1</v>
      </c>
      <c r="K3" s="120"/>
      <c r="L3" s="118"/>
      <c r="M3" s="118"/>
    </row>
    <row r="4" spans="2:14" x14ac:dyDescent="0.25">
      <c r="B4" s="9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</row>
    <row r="5" spans="2:14" x14ac:dyDescent="0.25">
      <c r="B5" s="9"/>
      <c r="C5" s="9" t="s">
        <v>2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</row>
    <row r="6" spans="2:14" x14ac:dyDescent="0.25">
      <c r="B6" s="9"/>
      <c r="C6" s="9"/>
      <c r="D6" s="118"/>
      <c r="E6" s="118"/>
      <c r="F6" s="118"/>
      <c r="G6" s="118"/>
      <c r="H6" s="118"/>
      <c r="I6" s="118"/>
      <c r="J6" s="118"/>
      <c r="K6" s="118"/>
      <c r="L6" s="118"/>
      <c r="M6" s="118"/>
    </row>
    <row r="7" spans="2:14" x14ac:dyDescent="0.25">
      <c r="B7" s="9"/>
      <c r="C7" s="121" t="s">
        <v>3</v>
      </c>
      <c r="D7" s="118"/>
      <c r="E7" s="118"/>
      <c r="F7" s="118"/>
      <c r="G7" s="118"/>
      <c r="H7" s="118"/>
      <c r="J7" s="122" t="s">
        <v>4</v>
      </c>
      <c r="K7" s="123">
        <v>2016</v>
      </c>
      <c r="L7" s="118"/>
      <c r="M7" s="118"/>
    </row>
    <row r="8" spans="2:14" x14ac:dyDescent="0.25">
      <c r="B8" s="9"/>
      <c r="D8" s="118"/>
      <c r="E8" s="118"/>
      <c r="F8" s="118"/>
      <c r="G8" s="118"/>
      <c r="H8" s="118"/>
      <c r="I8" s="118"/>
      <c r="J8" s="118"/>
      <c r="K8" s="118"/>
      <c r="L8" s="118"/>
      <c r="M8" s="118"/>
    </row>
    <row r="9" spans="2:14" x14ac:dyDescent="0.25">
      <c r="B9" s="9"/>
      <c r="C9" s="124" t="s">
        <v>5</v>
      </c>
      <c r="D9" s="124" t="s">
        <v>6</v>
      </c>
      <c r="E9" s="124" t="s">
        <v>7</v>
      </c>
      <c r="F9" s="124" t="s">
        <v>8</v>
      </c>
      <c r="G9" s="124" t="s">
        <v>9</v>
      </c>
      <c r="H9" s="124" t="s">
        <v>10</v>
      </c>
      <c r="I9" s="124" t="s">
        <v>11</v>
      </c>
      <c r="J9" s="124" t="s">
        <v>12</v>
      </c>
      <c r="K9" s="124" t="s">
        <v>13</v>
      </c>
      <c r="L9" s="124" t="s">
        <v>14</v>
      </c>
      <c r="M9" s="124" t="s">
        <v>15</v>
      </c>
      <c r="N9" s="124" t="s">
        <v>16</v>
      </c>
    </row>
    <row r="10" spans="2:14" x14ac:dyDescent="0.25">
      <c r="B10" s="118"/>
      <c r="C10" s="125"/>
      <c r="D10" s="118"/>
      <c r="E10" s="118"/>
      <c r="F10" s="118"/>
      <c r="G10" s="118"/>
      <c r="H10" s="118"/>
      <c r="I10" s="118"/>
      <c r="J10" s="118"/>
      <c r="K10" s="118"/>
      <c r="L10" s="118"/>
      <c r="N10" s="126" t="s">
        <v>17</v>
      </c>
    </row>
    <row r="11" spans="2:14" x14ac:dyDescent="0.25">
      <c r="B11" s="118"/>
      <c r="C11" s="127"/>
      <c r="D11" s="124"/>
      <c r="E11" s="124"/>
      <c r="F11" s="118"/>
      <c r="G11" s="118"/>
      <c r="H11" s="118"/>
      <c r="I11" s="118"/>
      <c r="J11" s="118"/>
      <c r="K11" s="118"/>
      <c r="L11" s="118"/>
      <c r="M11" s="118"/>
    </row>
    <row r="12" spans="2:14" x14ac:dyDescent="0.25">
      <c r="B12" s="140" t="s">
        <v>18</v>
      </c>
      <c r="C12" s="127" t="s">
        <v>19</v>
      </c>
      <c r="D12" s="129">
        <v>350.1</v>
      </c>
      <c r="E12" s="129">
        <v>350.2</v>
      </c>
      <c r="F12" s="129">
        <v>352</v>
      </c>
      <c r="G12" s="129">
        <v>353</v>
      </c>
      <c r="H12" s="129">
        <v>354</v>
      </c>
      <c r="I12" s="129">
        <v>355</v>
      </c>
      <c r="J12" s="129">
        <v>356</v>
      </c>
      <c r="K12" s="129">
        <v>357</v>
      </c>
      <c r="L12" s="129">
        <v>358</v>
      </c>
      <c r="M12" s="129">
        <v>359</v>
      </c>
      <c r="N12" s="130" t="s">
        <v>20</v>
      </c>
    </row>
    <row r="13" spans="2:14" x14ac:dyDescent="0.25">
      <c r="B13" s="130">
        <v>1</v>
      </c>
      <c r="C13" s="131" t="s">
        <v>21</v>
      </c>
      <c r="D13" s="132">
        <f>'Trans Plant-Rsrve Act'!D39</f>
        <v>77976654.562520087</v>
      </c>
      <c r="E13" s="132">
        <f>'Trans Plant-Rsrve Act'!E39</f>
        <v>163072480.04595727</v>
      </c>
      <c r="F13" s="132">
        <f>'Trans Plant-Rsrve Act'!F39</f>
        <v>470458375.70606768</v>
      </c>
      <c r="G13" s="132">
        <f>'Trans Plant-Rsrve Act'!G39</f>
        <v>3030177246.8036795</v>
      </c>
      <c r="H13" s="132">
        <f>'Trans Plant-Rsrve Act'!H39</f>
        <v>2164622762.8245416</v>
      </c>
      <c r="I13" s="132">
        <f>'Trans Plant-Rsrve Act'!I39</f>
        <v>310678566.28323245</v>
      </c>
      <c r="J13" s="132">
        <f>'Trans Plant-Rsrve Act'!J39</f>
        <v>1239646180.7050807</v>
      </c>
      <c r="K13" s="132">
        <f>'Trans Plant-Rsrve Act'!K39</f>
        <v>221416.38459709552</v>
      </c>
      <c r="L13" s="132">
        <f>'Trans Plant-Rsrve Act'!L39</f>
        <v>13011928.174370928</v>
      </c>
      <c r="M13" s="132">
        <f>'Trans Plant-Rsrve Act'!M39</f>
        <v>187087540.77399367</v>
      </c>
      <c r="N13" s="133">
        <f t="shared" ref="N13:N25" si="0">SUM(D13:M13)</f>
        <v>7656953152.2640409</v>
      </c>
    </row>
    <row r="14" spans="2:14" x14ac:dyDescent="0.25">
      <c r="B14" s="130">
        <f>B13+1</f>
        <v>2</v>
      </c>
      <c r="C14" s="134" t="s">
        <v>22</v>
      </c>
      <c r="D14" s="135">
        <f t="shared" ref="D14:M24" si="1">D132+D198 +D13</f>
        <v>77366105.920756206</v>
      </c>
      <c r="E14" s="135">
        <f t="shared" si="1"/>
        <v>163089424.98509225</v>
      </c>
      <c r="F14" s="135">
        <f t="shared" si="1"/>
        <v>477787636.76367897</v>
      </c>
      <c r="G14" s="135">
        <f t="shared" si="1"/>
        <v>3038238129.4965858</v>
      </c>
      <c r="H14" s="135">
        <f t="shared" si="1"/>
        <v>2149854075.4226894</v>
      </c>
      <c r="I14" s="135">
        <f t="shared" si="1"/>
        <v>312467578.99467111</v>
      </c>
      <c r="J14" s="135">
        <f t="shared" si="1"/>
        <v>1241589579.006793</v>
      </c>
      <c r="K14" s="135">
        <f t="shared" si="1"/>
        <v>221418.79555946231</v>
      </c>
      <c r="L14" s="135">
        <f t="shared" si="1"/>
        <v>13016282.411001131</v>
      </c>
      <c r="M14" s="135">
        <f t="shared" si="1"/>
        <v>187350498.21426925</v>
      </c>
      <c r="N14" s="133">
        <f t="shared" si="0"/>
        <v>7660980730.011097</v>
      </c>
    </row>
    <row r="15" spans="2:14" x14ac:dyDescent="0.25">
      <c r="B15" s="130">
        <f t="shared" ref="B15:B26" si="2">B14+1</f>
        <v>3</v>
      </c>
      <c r="C15" s="136" t="s">
        <v>23</v>
      </c>
      <c r="D15" s="135">
        <f t="shared" si="1"/>
        <v>77365695.692265838</v>
      </c>
      <c r="E15" s="135">
        <f t="shared" si="1"/>
        <v>163086101.86980206</v>
      </c>
      <c r="F15" s="135">
        <f t="shared" si="1"/>
        <v>470257228.66222346</v>
      </c>
      <c r="G15" s="135">
        <f t="shared" si="1"/>
        <v>3058743183.1241899</v>
      </c>
      <c r="H15" s="135">
        <f t="shared" si="1"/>
        <v>2152015903.4512615</v>
      </c>
      <c r="I15" s="135">
        <f t="shared" si="1"/>
        <v>313580382.27082932</v>
      </c>
      <c r="J15" s="135">
        <f t="shared" si="1"/>
        <v>1242505439.2727523</v>
      </c>
      <c r="K15" s="135">
        <f t="shared" si="1"/>
        <v>221418.7314081146</v>
      </c>
      <c r="L15" s="135">
        <f t="shared" si="1"/>
        <v>13016546.704568366</v>
      </c>
      <c r="M15" s="135">
        <f t="shared" si="1"/>
        <v>187651223.48926169</v>
      </c>
      <c r="N15" s="133">
        <f t="shared" si="0"/>
        <v>7678443123.2685623</v>
      </c>
    </row>
    <row r="16" spans="2:14" x14ac:dyDescent="0.25">
      <c r="B16" s="130">
        <f t="shared" si="2"/>
        <v>4</v>
      </c>
      <c r="C16" s="136" t="s">
        <v>24</v>
      </c>
      <c r="D16" s="135">
        <f t="shared" si="1"/>
        <v>87298556.972211495</v>
      </c>
      <c r="E16" s="135">
        <f t="shared" si="1"/>
        <v>163152629.64478576</v>
      </c>
      <c r="F16" s="135">
        <f t="shared" si="1"/>
        <v>476439567.91679418</v>
      </c>
      <c r="G16" s="135">
        <f t="shared" si="1"/>
        <v>3076643566.7201924</v>
      </c>
      <c r="H16" s="135">
        <f t="shared" si="1"/>
        <v>2150669452.918088</v>
      </c>
      <c r="I16" s="135">
        <f t="shared" si="1"/>
        <v>315593552.71820909</v>
      </c>
      <c r="J16" s="135">
        <f t="shared" si="1"/>
        <v>1245422772.2587121</v>
      </c>
      <c r="K16" s="135">
        <f t="shared" si="1"/>
        <v>221418.80131375283</v>
      </c>
      <c r="L16" s="135">
        <f t="shared" si="1"/>
        <v>13020184.442469927</v>
      </c>
      <c r="M16" s="135">
        <f t="shared" si="1"/>
        <v>190200198.58978724</v>
      </c>
      <c r="N16" s="133">
        <f t="shared" si="0"/>
        <v>7718661900.982563</v>
      </c>
    </row>
    <row r="17" spans="2:16" x14ac:dyDescent="0.25">
      <c r="B17" s="130">
        <f t="shared" si="2"/>
        <v>5</v>
      </c>
      <c r="C17" s="134" t="s">
        <v>25</v>
      </c>
      <c r="D17" s="135">
        <f t="shared" si="1"/>
        <v>87309334.695010051</v>
      </c>
      <c r="E17" s="135">
        <f t="shared" si="1"/>
        <v>163197608.62657893</v>
      </c>
      <c r="F17" s="135">
        <f t="shared" si="1"/>
        <v>491408710.10338807</v>
      </c>
      <c r="G17" s="135">
        <f t="shared" si="1"/>
        <v>3089452188.1863966</v>
      </c>
      <c r="H17" s="135">
        <f t="shared" si="1"/>
        <v>2155881434.0841064</v>
      </c>
      <c r="I17" s="135">
        <f t="shared" si="1"/>
        <v>316787446.86551559</v>
      </c>
      <c r="J17" s="135">
        <f t="shared" si="1"/>
        <v>1245937740.934953</v>
      </c>
      <c r="K17" s="135">
        <f t="shared" si="1"/>
        <v>221424.77976607962</v>
      </c>
      <c r="L17" s="135">
        <f t="shared" si="1"/>
        <v>14735209.524758596</v>
      </c>
      <c r="M17" s="135">
        <f t="shared" si="1"/>
        <v>190592879.66058707</v>
      </c>
      <c r="N17" s="133">
        <f t="shared" si="0"/>
        <v>7755523977.4610605</v>
      </c>
    </row>
    <row r="18" spans="2:16" x14ac:dyDescent="0.25">
      <c r="B18" s="130">
        <f t="shared" si="2"/>
        <v>6</v>
      </c>
      <c r="C18" s="136" t="s">
        <v>26</v>
      </c>
      <c r="D18" s="135">
        <f t="shared" si="1"/>
        <v>87317064.559089109</v>
      </c>
      <c r="E18" s="135">
        <f t="shared" si="1"/>
        <v>163204896.01935875</v>
      </c>
      <c r="F18" s="135">
        <f t="shared" si="1"/>
        <v>491870167.20857477</v>
      </c>
      <c r="G18" s="135">
        <f t="shared" si="1"/>
        <v>3090721159.1595273</v>
      </c>
      <c r="H18" s="135">
        <f t="shared" si="1"/>
        <v>2149317763.7040763</v>
      </c>
      <c r="I18" s="135">
        <f t="shared" si="1"/>
        <v>317533976.09647954</v>
      </c>
      <c r="J18" s="135">
        <f t="shared" si="1"/>
        <v>1246282242.7515957</v>
      </c>
      <c r="K18" s="135">
        <f t="shared" si="1"/>
        <v>221425.39641335516</v>
      </c>
      <c r="L18" s="135">
        <f t="shared" si="1"/>
        <v>15083340.179385828</v>
      </c>
      <c r="M18" s="135">
        <f t="shared" si="1"/>
        <v>191019612.6532428</v>
      </c>
      <c r="N18" s="133">
        <f t="shared" si="0"/>
        <v>7752571647.7277441</v>
      </c>
    </row>
    <row r="19" spans="2:16" x14ac:dyDescent="0.25">
      <c r="B19" s="130">
        <f t="shared" si="2"/>
        <v>7</v>
      </c>
      <c r="C19" s="136" t="s">
        <v>27</v>
      </c>
      <c r="D19" s="135">
        <f t="shared" si="1"/>
        <v>86794533.452252254</v>
      </c>
      <c r="E19" s="135">
        <f t="shared" si="1"/>
        <v>162983298.15184397</v>
      </c>
      <c r="F19" s="135">
        <f t="shared" si="1"/>
        <v>496064460.63903189</v>
      </c>
      <c r="G19" s="135">
        <f t="shared" si="1"/>
        <v>3120246532.2894578</v>
      </c>
      <c r="H19" s="135">
        <f t="shared" si="1"/>
        <v>2210512876.8160768</v>
      </c>
      <c r="I19" s="135">
        <f t="shared" si="1"/>
        <v>318450055.48245621</v>
      </c>
      <c r="J19" s="135">
        <f t="shared" si="1"/>
        <v>1247245617.2742162</v>
      </c>
      <c r="K19" s="135">
        <f t="shared" si="1"/>
        <v>221433.7484034512</v>
      </c>
      <c r="L19" s="135">
        <f t="shared" si="1"/>
        <v>15146686.808536716</v>
      </c>
      <c r="M19" s="135">
        <f t="shared" si="1"/>
        <v>192180088.88538799</v>
      </c>
      <c r="N19" s="133">
        <f t="shared" si="0"/>
        <v>7849845583.5476637</v>
      </c>
    </row>
    <row r="20" spans="2:16" x14ac:dyDescent="0.25">
      <c r="B20" s="130">
        <f t="shared" si="2"/>
        <v>8</v>
      </c>
      <c r="C20" s="134" t="s">
        <v>28</v>
      </c>
      <c r="D20" s="135">
        <f t="shared" si="1"/>
        <v>86801874.153581992</v>
      </c>
      <c r="E20" s="135">
        <f t="shared" si="1"/>
        <v>162990136.80559924</v>
      </c>
      <c r="F20" s="135">
        <f t="shared" si="1"/>
        <v>501268131.69438076</v>
      </c>
      <c r="G20" s="135">
        <f t="shared" si="1"/>
        <v>3170862943.2358661</v>
      </c>
      <c r="H20" s="135">
        <f t="shared" si="1"/>
        <v>2212689387.4658561</v>
      </c>
      <c r="I20" s="135">
        <f t="shared" si="1"/>
        <v>319127827.92367125</v>
      </c>
      <c r="J20" s="135">
        <f t="shared" si="1"/>
        <v>1247320275.4718237</v>
      </c>
      <c r="K20" s="135">
        <f t="shared" si="1"/>
        <v>221435.31043919784</v>
      </c>
      <c r="L20" s="135">
        <f t="shared" si="1"/>
        <v>15149825.277675817</v>
      </c>
      <c r="M20" s="135">
        <f t="shared" si="1"/>
        <v>192445154.97929978</v>
      </c>
      <c r="N20" s="133">
        <f t="shared" si="0"/>
        <v>7908876992.3181934</v>
      </c>
    </row>
    <row r="21" spans="2:16" x14ac:dyDescent="0.25">
      <c r="B21" s="130">
        <f t="shared" si="2"/>
        <v>9</v>
      </c>
      <c r="C21" s="136" t="s">
        <v>29</v>
      </c>
      <c r="D21" s="135">
        <f t="shared" si="1"/>
        <v>86799925.561732322</v>
      </c>
      <c r="E21" s="135">
        <f t="shared" si="1"/>
        <v>163006399.12982112</v>
      </c>
      <c r="F21" s="135">
        <f t="shared" si="1"/>
        <v>501046195.10621768</v>
      </c>
      <c r="G21" s="135">
        <f t="shared" si="1"/>
        <v>3171072527.4458294</v>
      </c>
      <c r="H21" s="135">
        <f t="shared" si="1"/>
        <v>2228283811.4142423</v>
      </c>
      <c r="I21" s="135">
        <f t="shared" si="1"/>
        <v>319715188.55151832</v>
      </c>
      <c r="J21" s="135">
        <f t="shared" si="1"/>
        <v>1241488154.0594299</v>
      </c>
      <c r="K21" s="135">
        <f t="shared" si="1"/>
        <v>221437.01124565469</v>
      </c>
      <c r="L21" s="135">
        <f t="shared" si="1"/>
        <v>15146092.306163164</v>
      </c>
      <c r="M21" s="135">
        <f t="shared" si="1"/>
        <v>178450653.71980661</v>
      </c>
      <c r="N21" s="133">
        <f t="shared" si="0"/>
        <v>7905230384.3060064</v>
      </c>
    </row>
    <row r="22" spans="2:16" x14ac:dyDescent="0.25">
      <c r="B22" s="130">
        <f t="shared" si="2"/>
        <v>10</v>
      </c>
      <c r="C22" s="136" t="s">
        <v>30</v>
      </c>
      <c r="D22" s="135">
        <f t="shared" si="1"/>
        <v>86814703.794480577</v>
      </c>
      <c r="E22" s="135">
        <f t="shared" si="1"/>
        <v>165199256.83283538</v>
      </c>
      <c r="F22" s="135">
        <f t="shared" si="1"/>
        <v>502725446.31547678</v>
      </c>
      <c r="G22" s="135">
        <f t="shared" si="1"/>
        <v>3174643081.8659549</v>
      </c>
      <c r="H22" s="135">
        <f t="shared" si="1"/>
        <v>2227591399.5001597</v>
      </c>
      <c r="I22" s="135">
        <f t="shared" si="1"/>
        <v>320439815.92619103</v>
      </c>
      <c r="J22" s="135">
        <f t="shared" si="1"/>
        <v>1245055135.6351149</v>
      </c>
      <c r="K22" s="135">
        <f t="shared" si="1"/>
        <v>178517523.39752224</v>
      </c>
      <c r="L22" s="135">
        <f t="shared" si="1"/>
        <v>77483574.966586709</v>
      </c>
      <c r="M22" s="135">
        <f t="shared" si="1"/>
        <v>178430166.24676564</v>
      </c>
      <c r="N22" s="133">
        <f t="shared" si="0"/>
        <v>8156900104.4810877</v>
      </c>
    </row>
    <row r="23" spans="2:16" x14ac:dyDescent="0.25">
      <c r="B23" s="130">
        <f t="shared" si="2"/>
        <v>11</v>
      </c>
      <c r="C23" s="134" t="s">
        <v>31</v>
      </c>
      <c r="D23" s="135">
        <f t="shared" si="1"/>
        <v>86813903.174480587</v>
      </c>
      <c r="E23" s="135">
        <f t="shared" si="1"/>
        <v>165297497.49586365</v>
      </c>
      <c r="F23" s="135">
        <f t="shared" si="1"/>
        <v>517665601.98983687</v>
      </c>
      <c r="G23" s="135">
        <f t="shared" si="1"/>
        <v>3188871201.80125</v>
      </c>
      <c r="H23" s="135">
        <f t="shared" si="1"/>
        <v>2231665227.0662451</v>
      </c>
      <c r="I23" s="135">
        <f t="shared" si="1"/>
        <v>321310132.43241912</v>
      </c>
      <c r="J23" s="135">
        <f t="shared" si="1"/>
        <v>1251456010.4862823</v>
      </c>
      <c r="K23" s="135">
        <f t="shared" si="1"/>
        <v>180892151.29278865</v>
      </c>
      <c r="L23" s="135">
        <f t="shared" si="1"/>
        <v>80351534.418137401</v>
      </c>
      <c r="M23" s="135">
        <f t="shared" si="1"/>
        <v>179079774.01582778</v>
      </c>
      <c r="N23" s="133">
        <f t="shared" si="0"/>
        <v>8203403034.173131</v>
      </c>
    </row>
    <row r="24" spans="2:16" x14ac:dyDescent="0.25">
      <c r="B24" s="130">
        <f t="shared" si="2"/>
        <v>12</v>
      </c>
      <c r="C24" s="134" t="s">
        <v>32</v>
      </c>
      <c r="D24" s="135">
        <f t="shared" si="1"/>
        <v>86821376.924480587</v>
      </c>
      <c r="E24" s="135">
        <f t="shared" si="1"/>
        <v>165325104.26987207</v>
      </c>
      <c r="F24" s="135">
        <f t="shared" si="1"/>
        <v>520661331.25752884</v>
      </c>
      <c r="G24" s="135">
        <f t="shared" si="1"/>
        <v>3201337814.1615868</v>
      </c>
      <c r="H24" s="135">
        <f t="shared" si="1"/>
        <v>2220025051.9682417</v>
      </c>
      <c r="I24" s="135">
        <f t="shared" si="1"/>
        <v>322121103.06521958</v>
      </c>
      <c r="J24" s="135">
        <f t="shared" si="1"/>
        <v>1251410453.1164365</v>
      </c>
      <c r="K24" s="135">
        <f t="shared" si="1"/>
        <v>184358840.71159336</v>
      </c>
      <c r="L24" s="135">
        <f t="shared" si="1"/>
        <v>81550529.758004189</v>
      </c>
      <c r="M24" s="135">
        <f t="shared" si="1"/>
        <v>179287045.11759129</v>
      </c>
      <c r="N24" s="133">
        <f t="shared" si="0"/>
        <v>8212898650.3505554</v>
      </c>
    </row>
    <row r="25" spans="2:16" x14ac:dyDescent="0.25">
      <c r="B25" s="130">
        <f t="shared" si="2"/>
        <v>13</v>
      </c>
      <c r="C25" s="136" t="s">
        <v>33</v>
      </c>
      <c r="D25" s="137">
        <f>'Trans Plant-Rsrve Act'!D51</f>
        <v>86845703.104480594</v>
      </c>
      <c r="E25" s="137">
        <f>'Trans Plant-Rsrve Act'!E51</f>
        <v>165326927.2768119</v>
      </c>
      <c r="F25" s="138">
        <v>531582610.71770966</v>
      </c>
      <c r="G25" s="138">
        <v>3249175449.0339036</v>
      </c>
      <c r="H25" s="138">
        <v>2233991232.3950157</v>
      </c>
      <c r="I25" s="138">
        <v>324258227.67707634</v>
      </c>
      <c r="J25" s="138">
        <v>1235903789.8920355</v>
      </c>
      <c r="K25" s="138">
        <v>185508196.51391283</v>
      </c>
      <c r="L25" s="138">
        <v>81951071.959831506</v>
      </c>
      <c r="M25" s="138">
        <v>182027086.53564012</v>
      </c>
      <c r="N25" s="139">
        <f t="shared" si="0"/>
        <v>8276570295.1064177</v>
      </c>
      <c r="P25" s="140"/>
    </row>
    <row r="26" spans="2:16" x14ac:dyDescent="0.25">
      <c r="B26" s="130">
        <f t="shared" si="2"/>
        <v>14</v>
      </c>
      <c r="C26" s="136" t="s">
        <v>34</v>
      </c>
      <c r="D26" s="133">
        <f t="shared" ref="D26:N26" si="3">AVERAGE(D13:D25)</f>
        <v>84794264.043641657</v>
      </c>
      <c r="E26" s="133">
        <f t="shared" si="3"/>
        <v>163763981.62724787</v>
      </c>
      <c r="F26" s="133">
        <f t="shared" si="3"/>
        <v>496095035.69853145</v>
      </c>
      <c r="G26" s="133">
        <f t="shared" si="3"/>
        <v>3127706540.2557244</v>
      </c>
      <c r="H26" s="133">
        <f t="shared" si="3"/>
        <v>2191316952.2331233</v>
      </c>
      <c r="I26" s="133">
        <f t="shared" si="3"/>
        <v>317851065.71442223</v>
      </c>
      <c r="J26" s="133">
        <f t="shared" si="3"/>
        <v>1244712568.5280941</v>
      </c>
      <c r="K26" s="133">
        <f t="shared" si="3"/>
        <v>56251503.144227944</v>
      </c>
      <c r="L26" s="133">
        <f t="shared" si="3"/>
        <v>34512523.610114641</v>
      </c>
      <c r="M26" s="133">
        <f t="shared" si="3"/>
        <v>185830917.14472777</v>
      </c>
      <c r="N26" s="133">
        <f t="shared" si="3"/>
        <v>7902835351.999856</v>
      </c>
    </row>
    <row r="28" spans="2:16" x14ac:dyDescent="0.25">
      <c r="C28" s="9" t="s">
        <v>35</v>
      </c>
    </row>
    <row r="29" spans="2:16" x14ac:dyDescent="0.25">
      <c r="C29" s="9"/>
    </row>
    <row r="30" spans="2:16" x14ac:dyDescent="0.25">
      <c r="C30" s="141" t="s">
        <v>36</v>
      </c>
      <c r="D30" s="142"/>
      <c r="E30" s="142"/>
      <c r="F30" s="142"/>
      <c r="G30" s="142"/>
      <c r="H30" s="142"/>
      <c r="I30" s="142"/>
    </row>
    <row r="31" spans="2:16" x14ac:dyDescent="0.25">
      <c r="C31" s="9"/>
    </row>
    <row r="32" spans="2:16" x14ac:dyDescent="0.25">
      <c r="B32" s="9"/>
      <c r="C32" s="124" t="s">
        <v>5</v>
      </c>
      <c r="D32" s="124" t="s">
        <v>6</v>
      </c>
      <c r="E32" s="124" t="s">
        <v>7</v>
      </c>
      <c r="F32" s="124" t="s">
        <v>8</v>
      </c>
      <c r="G32" s="124" t="s">
        <v>9</v>
      </c>
    </row>
    <row r="33" spans="2:8" x14ac:dyDescent="0.25">
      <c r="B33" s="118"/>
      <c r="C33" s="126"/>
      <c r="D33" s="118"/>
      <c r="E33" s="118"/>
      <c r="F33" s="118"/>
      <c r="G33" s="126" t="s">
        <v>37</v>
      </c>
    </row>
    <row r="34" spans="2:8" x14ac:dyDescent="0.25">
      <c r="B34" s="118"/>
      <c r="C34" s="127"/>
      <c r="D34" s="124"/>
      <c r="E34" s="124"/>
      <c r="F34" s="118"/>
      <c r="G34" s="118"/>
    </row>
    <row r="35" spans="2:8" ht="12.75" customHeight="1" x14ac:dyDescent="0.25">
      <c r="B35" s="140" t="s">
        <v>18</v>
      </c>
      <c r="C35" s="127" t="s">
        <v>19</v>
      </c>
      <c r="D35" s="185">
        <v>360</v>
      </c>
      <c r="E35" s="185">
        <v>361</v>
      </c>
      <c r="F35" s="185">
        <v>362</v>
      </c>
      <c r="G35" s="144" t="s">
        <v>20</v>
      </c>
    </row>
    <row r="36" spans="2:8" ht="12.75" customHeight="1" x14ac:dyDescent="0.25">
      <c r="B36" s="130">
        <f>B26+1</f>
        <v>15</v>
      </c>
      <c r="C36" s="145" t="str">
        <f>C13</f>
        <v>Dec 2015</v>
      </c>
      <c r="D36" s="132">
        <v>0</v>
      </c>
      <c r="E36" s="132">
        <v>0</v>
      </c>
      <c r="F36" s="132">
        <v>0</v>
      </c>
      <c r="G36" s="133">
        <f>SUM(D36:F36)</f>
        <v>0</v>
      </c>
    </row>
    <row r="37" spans="2:8" ht="12.75" customHeight="1" x14ac:dyDescent="0.25">
      <c r="B37" s="130">
        <f>B36+1</f>
        <v>16</v>
      </c>
      <c r="C37" s="145" t="str">
        <f>C25</f>
        <v>Dec 2016</v>
      </c>
      <c r="D37" s="183">
        <v>0</v>
      </c>
      <c r="E37" s="183">
        <v>0</v>
      </c>
      <c r="F37" s="183">
        <v>0</v>
      </c>
      <c r="G37" s="133">
        <f>SUM(D37:F37)</f>
        <v>0</v>
      </c>
    </row>
    <row r="38" spans="2:8" ht="12.75" customHeight="1" x14ac:dyDescent="0.25">
      <c r="B38" s="130">
        <f>B37+1</f>
        <v>17</v>
      </c>
      <c r="C38" s="136" t="s">
        <v>38</v>
      </c>
      <c r="D38" s="184">
        <f>AVERAGE(D36:D37)</f>
        <v>0</v>
      </c>
      <c r="E38" s="184">
        <f>AVERAGE(E36:E37)</f>
        <v>0</v>
      </c>
      <c r="F38" s="184">
        <f>AVERAGE(F36:F37)</f>
        <v>0</v>
      </c>
      <c r="G38" s="184">
        <f>AVERAGE(G36:G37)</f>
        <v>0</v>
      </c>
    </row>
    <row r="39" spans="2:8" ht="12.75" customHeight="1" x14ac:dyDescent="0.25"/>
    <row r="40" spans="2:8" x14ac:dyDescent="0.25">
      <c r="C40" s="140" t="s">
        <v>39</v>
      </c>
      <c r="D40" s="147"/>
      <c r="E40" s="147"/>
      <c r="F40" s="148"/>
      <c r="G40" s="149"/>
      <c r="H40" s="150"/>
    </row>
    <row r="41" spans="2:8" x14ac:dyDescent="0.25">
      <c r="C41" s="121" t="s">
        <v>40</v>
      </c>
      <c r="D41" s="147"/>
      <c r="E41" s="147"/>
      <c r="F41" s="148"/>
      <c r="G41" s="149"/>
      <c r="H41" s="150"/>
    </row>
    <row r="42" spans="2:8" x14ac:dyDescent="0.25">
      <c r="D42" s="147"/>
      <c r="E42" s="147"/>
      <c r="F42" s="148"/>
      <c r="G42" s="149"/>
      <c r="H42" s="150"/>
    </row>
    <row r="43" spans="2:8" x14ac:dyDescent="0.25">
      <c r="D43" s="147"/>
      <c r="E43" s="147" t="s">
        <v>41</v>
      </c>
      <c r="F43" s="188" t="s">
        <v>42</v>
      </c>
      <c r="G43" s="149"/>
      <c r="H43" s="150"/>
    </row>
    <row r="44" spans="2:8" x14ac:dyDescent="0.25">
      <c r="B44" s="130">
        <f>B38+1</f>
        <v>18</v>
      </c>
      <c r="D44" s="148" t="s">
        <v>43</v>
      </c>
      <c r="E44" s="149">
        <f>N26+G38</f>
        <v>7902835351.999856</v>
      </c>
      <c r="F44" s="151" t="str">
        <f>"Sum of Line "&amp;B26&amp;", "&amp;N9&amp;" and Line "&amp;B38&amp;", "&amp;G32&amp;""</f>
        <v>Sum of Line 14, Col 12 and Line 17, Col 5</v>
      </c>
    </row>
    <row r="45" spans="2:8" x14ac:dyDescent="0.25">
      <c r="B45" s="130">
        <f>B44+1</f>
        <v>19</v>
      </c>
      <c r="D45" s="148" t="s">
        <v>44</v>
      </c>
      <c r="E45" s="149">
        <f>N25+G37</f>
        <v>8276570295.1064177</v>
      </c>
      <c r="F45" s="151" t="str">
        <f>"Sum of Line "&amp;B25&amp;", "&amp;N9&amp;" and Line "&amp;B37&amp;", "&amp;G32&amp;""</f>
        <v>Sum of Line 13, Col 12 and Line 16, Col 5</v>
      </c>
    </row>
    <row r="46" spans="2:8" x14ac:dyDescent="0.25">
      <c r="D46" s="147"/>
      <c r="E46" s="147"/>
      <c r="F46" s="152"/>
      <c r="G46" s="153"/>
      <c r="H46" s="154"/>
    </row>
    <row r="47" spans="2:8" x14ac:dyDescent="0.25">
      <c r="C47" s="140" t="s">
        <v>45</v>
      </c>
      <c r="F47" s="152"/>
      <c r="G47" s="153"/>
      <c r="H47" s="154"/>
    </row>
    <row r="48" spans="2:8" x14ac:dyDescent="0.25">
      <c r="C48" s="155" t="s">
        <v>46</v>
      </c>
      <c r="F48" s="152"/>
      <c r="G48" s="153"/>
      <c r="H48" s="154"/>
    </row>
    <row r="49" spans="2:11" ht="12.75" customHeight="1" x14ac:dyDescent="0.25">
      <c r="C49" s="155"/>
      <c r="F49" s="152"/>
      <c r="G49" s="153"/>
      <c r="H49" s="154"/>
    </row>
    <row r="50" spans="2:11" x14ac:dyDescent="0.25">
      <c r="C50" s="140"/>
      <c r="D50" s="126" t="s">
        <v>47</v>
      </c>
      <c r="F50" s="152"/>
      <c r="G50" s="124" t="s">
        <v>5</v>
      </c>
      <c r="H50" s="124" t="s">
        <v>6</v>
      </c>
      <c r="I50" s="124" t="s">
        <v>7</v>
      </c>
    </row>
    <row r="51" spans="2:11" x14ac:dyDescent="0.25">
      <c r="C51" s="140"/>
      <c r="D51" s="130" t="s">
        <v>48</v>
      </c>
      <c r="E51" s="152"/>
      <c r="G51" s="130" t="s">
        <v>49</v>
      </c>
      <c r="H51" s="130" t="s">
        <v>50</v>
      </c>
      <c r="I51" s="156" t="s">
        <v>20</v>
      </c>
      <c r="J51" s="154"/>
    </row>
    <row r="52" spans="2:11" x14ac:dyDescent="0.25">
      <c r="D52" s="130" t="s">
        <v>51</v>
      </c>
      <c r="E52" s="157" t="s">
        <v>52</v>
      </c>
      <c r="G52" s="157" t="s">
        <v>53</v>
      </c>
      <c r="H52" s="157" t="s">
        <v>53</v>
      </c>
      <c r="I52" s="157" t="s">
        <v>54</v>
      </c>
      <c r="J52" s="157"/>
    </row>
    <row r="53" spans="2:11" x14ac:dyDescent="0.25">
      <c r="D53" s="130" t="s">
        <v>55</v>
      </c>
      <c r="E53" s="189" t="s">
        <v>42</v>
      </c>
      <c r="G53" s="157" t="s">
        <v>56</v>
      </c>
      <c r="H53" s="157" t="s">
        <v>56</v>
      </c>
      <c r="I53" s="157" t="s">
        <v>56</v>
      </c>
      <c r="J53" s="190" t="s">
        <v>57</v>
      </c>
    </row>
    <row r="54" spans="2:11" x14ac:dyDescent="0.25">
      <c r="B54" s="130">
        <f>B45+1</f>
        <v>20</v>
      </c>
      <c r="D54" s="158" t="s">
        <v>58</v>
      </c>
      <c r="E54" s="159" t="s">
        <v>59</v>
      </c>
      <c r="G54" s="132">
        <v>2810955447</v>
      </c>
      <c r="H54" s="132">
        <v>1597954444</v>
      </c>
      <c r="I54" s="149">
        <f>SUM(G54:H54)</f>
        <v>4408909891</v>
      </c>
      <c r="J54" s="159" t="s">
        <v>60</v>
      </c>
      <c r="K54" s="142"/>
    </row>
    <row r="55" spans="2:11" ht="12.75" customHeight="1" x14ac:dyDescent="0.25">
      <c r="B55" s="130">
        <f>B54+1</f>
        <v>21</v>
      </c>
      <c r="D55" s="160" t="s">
        <v>58</v>
      </c>
      <c r="E55" s="159" t="s">
        <v>61</v>
      </c>
      <c r="F55" s="142"/>
      <c r="G55" s="132">
        <v>2941903413</v>
      </c>
      <c r="H55" s="132">
        <v>1588136353</v>
      </c>
      <c r="I55" s="149">
        <f>SUM(G55:H55)</f>
        <v>4530039766</v>
      </c>
      <c r="J55" s="161" t="s">
        <v>62</v>
      </c>
      <c r="K55" s="142"/>
    </row>
    <row r="56" spans="2:11" ht="12.75" customHeight="1" x14ac:dyDescent="0.25">
      <c r="D56" s="160"/>
      <c r="E56" s="162"/>
      <c r="F56" s="163"/>
      <c r="G56" s="149"/>
      <c r="H56" s="155"/>
    </row>
    <row r="57" spans="2:11" ht="12.75" customHeight="1" x14ac:dyDescent="0.25">
      <c r="D57" s="147" t="s">
        <v>63</v>
      </c>
      <c r="E57" s="147"/>
      <c r="F57" s="152"/>
      <c r="G57" s="188" t="s">
        <v>41</v>
      </c>
      <c r="H57" s="191" t="s">
        <v>42</v>
      </c>
    </row>
    <row r="58" spans="2:11" x14ac:dyDescent="0.25">
      <c r="B58" s="130">
        <f>B55+1</f>
        <v>22</v>
      </c>
      <c r="D58" s="147"/>
      <c r="E58" s="147"/>
      <c r="F58" s="148" t="s">
        <v>64</v>
      </c>
      <c r="G58" s="149">
        <f>(I54+I55)/2</f>
        <v>4469474828.5</v>
      </c>
      <c r="H58" s="164" t="str">
        <f>"Average of Line "&amp;B54&amp;" and "&amp;B55&amp;"."</f>
        <v>Average of Line 20 and 21.</v>
      </c>
    </row>
    <row r="59" spans="2:11" x14ac:dyDescent="0.25">
      <c r="B59" s="130">
        <f>B58+1</f>
        <v>23</v>
      </c>
      <c r="D59" s="147"/>
      <c r="E59" s="147"/>
      <c r="F59" s="165" t="s">
        <v>65</v>
      </c>
      <c r="G59" s="186">
        <v>6.1650013139118928E-2</v>
      </c>
      <c r="H59" s="164" t="s">
        <v>230</v>
      </c>
    </row>
    <row r="60" spans="2:11" x14ac:dyDescent="0.25">
      <c r="B60" s="130">
        <f>B59+1</f>
        <v>24</v>
      </c>
      <c r="D60" s="147"/>
      <c r="E60" s="147"/>
      <c r="F60" s="165" t="s">
        <v>66</v>
      </c>
      <c r="G60" s="187">
        <f>G58*G59</f>
        <v>275543181.9019863</v>
      </c>
      <c r="H60" s="164" t="str">
        <f>"Line "&amp;B58&amp;" * Line "&amp;B59&amp;"."</f>
        <v>Line 22 * Line 23.</v>
      </c>
    </row>
    <row r="61" spans="2:11" x14ac:dyDescent="0.25">
      <c r="D61" s="147"/>
      <c r="E61" s="147"/>
      <c r="F61" s="165"/>
      <c r="G61" s="149"/>
      <c r="H61" s="150"/>
    </row>
    <row r="62" spans="2:11" x14ac:dyDescent="0.25">
      <c r="D62" s="147" t="s">
        <v>67</v>
      </c>
      <c r="E62" s="147"/>
      <c r="F62" s="152"/>
      <c r="G62" s="188" t="s">
        <v>41</v>
      </c>
      <c r="H62" s="191" t="s">
        <v>42</v>
      </c>
    </row>
    <row r="63" spans="2:11" x14ac:dyDescent="0.25">
      <c r="B63" s="130">
        <f>B60+1</f>
        <v>25</v>
      </c>
      <c r="D63" s="147"/>
      <c r="E63" s="147"/>
      <c r="F63" s="148" t="s">
        <v>44</v>
      </c>
      <c r="G63" s="149">
        <f>I55</f>
        <v>4530039766</v>
      </c>
      <c r="H63" s="164" t="str">
        <f>"Line "&amp;B55&amp;"."</f>
        <v>Line 21.</v>
      </c>
    </row>
    <row r="64" spans="2:11" x14ac:dyDescent="0.25">
      <c r="B64" s="130">
        <f>B63+1</f>
        <v>26</v>
      </c>
      <c r="D64" s="147"/>
      <c r="E64" s="147"/>
      <c r="F64" s="165" t="s">
        <v>65</v>
      </c>
      <c r="G64" s="186">
        <v>6.1650013139118928E-2</v>
      </c>
      <c r="H64" s="164" t="s">
        <v>230</v>
      </c>
    </row>
    <row r="65" spans="2:14" x14ac:dyDescent="0.25">
      <c r="B65" s="130">
        <f>B64+1</f>
        <v>27</v>
      </c>
      <c r="D65" s="147"/>
      <c r="E65" s="147"/>
      <c r="F65" s="165" t="s">
        <v>66</v>
      </c>
      <c r="G65" s="187">
        <f>G63*G64</f>
        <v>279277011.09463125</v>
      </c>
      <c r="H65" s="164" t="str">
        <f>"Line "&amp;B63&amp;" * Line "&amp;B64&amp;"."</f>
        <v>Line 25 * Line 26.</v>
      </c>
    </row>
    <row r="68" spans="2:14" x14ac:dyDescent="0.25">
      <c r="C68" s="140" t="s">
        <v>68</v>
      </c>
    </row>
    <row r="70" spans="2:14" x14ac:dyDescent="0.25">
      <c r="C70" s="140" t="s">
        <v>69</v>
      </c>
    </row>
    <row r="72" spans="2:14" x14ac:dyDescent="0.25">
      <c r="B72" s="9"/>
      <c r="C72" s="124" t="s">
        <v>5</v>
      </c>
      <c r="D72" s="124" t="s">
        <v>6</v>
      </c>
      <c r="E72" s="124" t="s">
        <v>7</v>
      </c>
      <c r="F72" s="124" t="s">
        <v>8</v>
      </c>
      <c r="G72" s="124" t="s">
        <v>9</v>
      </c>
      <c r="H72" s="124" t="s">
        <v>10</v>
      </c>
      <c r="I72" s="124" t="s">
        <v>11</v>
      </c>
      <c r="J72" s="124" t="s">
        <v>12</v>
      </c>
      <c r="K72" s="124" t="s">
        <v>13</v>
      </c>
      <c r="L72" s="124" t="s">
        <v>14</v>
      </c>
      <c r="M72" s="124" t="s">
        <v>15</v>
      </c>
      <c r="N72" s="124" t="s">
        <v>16</v>
      </c>
    </row>
    <row r="73" spans="2:14" x14ac:dyDescent="0.25">
      <c r="B73" s="118"/>
      <c r="C73" s="126"/>
      <c r="D73" s="118"/>
      <c r="E73" s="118"/>
      <c r="F73" s="118"/>
      <c r="G73" s="118"/>
      <c r="H73" s="118"/>
      <c r="I73" s="118"/>
      <c r="J73" s="118"/>
      <c r="K73" s="118"/>
      <c r="L73" s="118"/>
      <c r="N73" s="126" t="s">
        <v>17</v>
      </c>
    </row>
    <row r="74" spans="2:14" x14ac:dyDescent="0.25">
      <c r="B74" s="128"/>
      <c r="C74" s="127" t="s">
        <v>19</v>
      </c>
      <c r="D74" s="129">
        <v>350.1</v>
      </c>
      <c r="E74" s="129">
        <v>350.2</v>
      </c>
      <c r="F74" s="129">
        <v>352</v>
      </c>
      <c r="G74" s="129">
        <v>353</v>
      </c>
      <c r="H74" s="129">
        <v>354</v>
      </c>
      <c r="I74" s="129">
        <v>355</v>
      </c>
      <c r="J74" s="129">
        <v>356</v>
      </c>
      <c r="K74" s="129">
        <v>357</v>
      </c>
      <c r="L74" s="129">
        <v>358</v>
      </c>
      <c r="M74" s="129">
        <v>359</v>
      </c>
      <c r="N74" s="130" t="s">
        <v>20</v>
      </c>
    </row>
    <row r="75" spans="2:14" x14ac:dyDescent="0.25">
      <c r="B75" s="130">
        <f>B65+1</f>
        <v>28</v>
      </c>
      <c r="C75" s="145" t="str">
        <f>C13</f>
        <v>Dec 2015</v>
      </c>
      <c r="D75" s="132">
        <f>'Trans Plant-Rsrve Act'!D7</f>
        <v>121657931.75999999</v>
      </c>
      <c r="E75" s="132">
        <f>'Trans Plant-Rsrve Act'!E7</f>
        <v>206772795.96000001</v>
      </c>
      <c r="F75" s="132">
        <f>'Trans Plant-Rsrve Act'!F7</f>
        <v>686827403.82000017</v>
      </c>
      <c r="G75" s="132">
        <f>'Trans Plant-Rsrve Act'!G7</f>
        <v>5247711807.04</v>
      </c>
      <c r="H75" s="132">
        <f>'Trans Plant-Rsrve Act'!H7</f>
        <v>2259972825.6399999</v>
      </c>
      <c r="I75" s="132">
        <f>'Trans Plant-Rsrve Act'!I7</f>
        <v>1008567359.33</v>
      </c>
      <c r="J75" s="132">
        <f>'Trans Plant-Rsrve Act'!J7</f>
        <v>1482107623.72</v>
      </c>
      <c r="K75" s="132">
        <f>'Trans Plant-Rsrve Act'!K7</f>
        <v>61087062.369999997</v>
      </c>
      <c r="L75" s="132">
        <f>'Trans Plant-Rsrve Act'!L7</f>
        <v>268612322.58999997</v>
      </c>
      <c r="M75" s="132">
        <f>'Trans Plant-Rsrve Act'!M7</f>
        <v>194018040.61000001</v>
      </c>
      <c r="N75" s="133">
        <f t="shared" ref="N75:N86" si="4">SUM(D75:M75)</f>
        <v>11537335172.84</v>
      </c>
    </row>
    <row r="76" spans="2:14" x14ac:dyDescent="0.25">
      <c r="B76" s="130">
        <f t="shared" ref="B76:B87" si="5">B75+1</f>
        <v>29</v>
      </c>
      <c r="C76" s="145" t="str">
        <f t="shared" ref="C76:C87" si="6">C14</f>
        <v>Jan 2016</v>
      </c>
      <c r="D76" s="132">
        <f>'Trans Plant-Rsrve Act'!D8</f>
        <v>120041816.67</v>
      </c>
      <c r="E76" s="132">
        <f>'Trans Plant-Rsrve Act'!E8</f>
        <v>206793884.87</v>
      </c>
      <c r="F76" s="132">
        <f>'Trans Plant-Rsrve Act'!F8</f>
        <v>703336512.34000015</v>
      </c>
      <c r="G76" s="132">
        <f>'Trans Plant-Rsrve Act'!G8</f>
        <v>5261334181.5800009</v>
      </c>
      <c r="H76" s="132">
        <f>'Trans Plant-Rsrve Act'!H8</f>
        <v>2267078142.29</v>
      </c>
      <c r="I76" s="132">
        <f>'Trans Plant-Rsrve Act'!I8</f>
        <v>1019274095.3199999</v>
      </c>
      <c r="J76" s="132">
        <f>'Trans Plant-Rsrve Act'!J8</f>
        <v>1490923946.2900002</v>
      </c>
      <c r="K76" s="132">
        <f>'Trans Plant-Rsrve Act'!K8</f>
        <v>62025505.340000004</v>
      </c>
      <c r="L76" s="132">
        <f>'Trans Plant-Rsrve Act'!L8</f>
        <v>270314277.77999997</v>
      </c>
      <c r="M76" s="132">
        <f>'Trans Plant-Rsrve Act'!M8</f>
        <v>194248888.61000001</v>
      </c>
      <c r="N76" s="133">
        <f t="shared" si="4"/>
        <v>11595371251.090004</v>
      </c>
    </row>
    <row r="77" spans="2:14" x14ac:dyDescent="0.25">
      <c r="B77" s="130">
        <f t="shared" si="5"/>
        <v>30</v>
      </c>
      <c r="C77" s="145" t="str">
        <f t="shared" si="6"/>
        <v>Feb 2016</v>
      </c>
      <c r="D77" s="132">
        <f>'Trans Plant-Rsrve Act'!D9</f>
        <v>120040730.8</v>
      </c>
      <c r="E77" s="132">
        <f>'Trans Plant-Rsrve Act'!E9</f>
        <v>206789749.06999999</v>
      </c>
      <c r="F77" s="132">
        <f>'Trans Plant-Rsrve Act'!F9</f>
        <v>697204660.2900002</v>
      </c>
      <c r="G77" s="132">
        <f>'Trans Plant-Rsrve Act'!G9</f>
        <v>5284584037.1800003</v>
      </c>
      <c r="H77" s="132">
        <f>'Trans Plant-Rsrve Act'!H9</f>
        <v>2269281263.71</v>
      </c>
      <c r="I77" s="132">
        <f>'Trans Plant-Rsrve Act'!I9</f>
        <v>1030145033.83</v>
      </c>
      <c r="J77" s="132">
        <f>'Trans Plant-Rsrve Act'!J9</f>
        <v>1492010547.1100001</v>
      </c>
      <c r="K77" s="132">
        <f>'Trans Plant-Rsrve Act'!K9</f>
        <v>62000535.07</v>
      </c>
      <c r="L77" s="132">
        <f>'Trans Plant-Rsrve Act'!L9</f>
        <v>270417583.10000002</v>
      </c>
      <c r="M77" s="132">
        <f>'Trans Plant-Rsrve Act'!M9</f>
        <v>194553636.47</v>
      </c>
      <c r="N77" s="133">
        <f t="shared" si="4"/>
        <v>11627027776.630001</v>
      </c>
    </row>
    <row r="78" spans="2:14" x14ac:dyDescent="0.25">
      <c r="B78" s="130">
        <f t="shared" si="5"/>
        <v>31</v>
      </c>
      <c r="C78" s="145" t="str">
        <f t="shared" si="6"/>
        <v>Mar 2016</v>
      </c>
      <c r="D78" s="132">
        <f>'Trans Plant-Rsrve Act'!D10</f>
        <v>129974728.36999999</v>
      </c>
      <c r="E78" s="132">
        <f>'Trans Plant-Rsrve Act'!E10</f>
        <v>206872546.55000001</v>
      </c>
      <c r="F78" s="132">
        <f>'Trans Plant-Rsrve Act'!F10</f>
        <v>711236846.82000005</v>
      </c>
      <c r="G78" s="132">
        <f>'Trans Plant-Rsrve Act'!G10</f>
        <v>5314778263.039999</v>
      </c>
      <c r="H78" s="132">
        <f>'Trans Plant-Rsrve Act'!H10</f>
        <v>2270538592.0600004</v>
      </c>
      <c r="I78" s="132">
        <f>'Trans Plant-Rsrve Act'!I10</f>
        <v>1055295896.53</v>
      </c>
      <c r="J78" s="132">
        <f>'Trans Plant-Rsrve Act'!J10</f>
        <v>1501940680.5899999</v>
      </c>
      <c r="K78" s="132">
        <f>'Trans Plant-Rsrve Act'!K10</f>
        <v>62027745.140000001</v>
      </c>
      <c r="L78" s="132">
        <f>'Trans Plant-Rsrve Act'!L10</f>
        <v>271839478.00999999</v>
      </c>
      <c r="M78" s="132">
        <f>'Trans Plant-Rsrve Act'!M10</f>
        <v>203547851.90000001</v>
      </c>
      <c r="N78" s="133">
        <f t="shared" si="4"/>
        <v>11728052629.01</v>
      </c>
    </row>
    <row r="79" spans="2:14" x14ac:dyDescent="0.25">
      <c r="B79" s="130">
        <f t="shared" si="5"/>
        <v>32</v>
      </c>
      <c r="C79" s="145" t="str">
        <f t="shared" si="6"/>
        <v>Apr 2016</v>
      </c>
      <c r="D79" s="132">
        <f>'Trans Plant-Rsrve Act'!D11</f>
        <v>129984882.63</v>
      </c>
      <c r="E79" s="132">
        <f>'Trans Plant-Rsrve Act'!E11</f>
        <v>206918508.47000003</v>
      </c>
      <c r="F79" s="132">
        <f>'Trans Plant-Rsrve Act'!F11</f>
        <v>747798349.69000006</v>
      </c>
      <c r="G79" s="132">
        <f>'Trans Plant-Rsrve Act'!G11</f>
        <v>5334716093.5899992</v>
      </c>
      <c r="H79" s="132">
        <f>'Trans Plant-Rsrve Act'!H11</f>
        <v>2271061822.5799999</v>
      </c>
      <c r="I79" s="132">
        <f>'Trans Plant-Rsrve Act'!I11</f>
        <v>1068519519.35</v>
      </c>
      <c r="J79" s="132">
        <f>'Trans Plant-Rsrve Act'!J11</f>
        <v>1502283884.8499999</v>
      </c>
      <c r="K79" s="132">
        <f>'Trans Plant-Rsrve Act'!K11</f>
        <v>64354797.869999997</v>
      </c>
      <c r="L79" s="132">
        <f>'Trans Plant-Rsrve Act'!L11</f>
        <v>281803117.47000003</v>
      </c>
      <c r="M79" s="132">
        <f>'Trans Plant-Rsrve Act'!M11</f>
        <v>204247360.43000001</v>
      </c>
      <c r="N79" s="133">
        <f t="shared" si="4"/>
        <v>11811688336.93</v>
      </c>
    </row>
    <row r="80" spans="2:14" x14ac:dyDescent="0.25">
      <c r="B80" s="130">
        <f t="shared" si="5"/>
        <v>33</v>
      </c>
      <c r="C80" s="145" t="str">
        <f t="shared" si="6"/>
        <v>May 2016</v>
      </c>
      <c r="D80" s="132">
        <f>'Trans Plant-Rsrve Act'!D12</f>
        <v>129993235.25999999</v>
      </c>
      <c r="E80" s="132">
        <f>'Trans Plant-Rsrve Act'!E12</f>
        <v>206927466.27000001</v>
      </c>
      <c r="F80" s="132">
        <f>'Trans Plant-Rsrve Act'!F12</f>
        <v>748915252.89999986</v>
      </c>
      <c r="G80" s="132">
        <f>'Trans Plant-Rsrve Act'!G12</f>
        <v>5336971167.4200001</v>
      </c>
      <c r="H80" s="132">
        <f>'Trans Plant-Rsrve Act'!H12</f>
        <v>2274749703.0899997</v>
      </c>
      <c r="I80" s="132">
        <f>'Trans Plant-Rsrve Act'!I12</f>
        <v>1077180001.55</v>
      </c>
      <c r="J80" s="132">
        <f>'Trans Plant-Rsrve Act'!J12</f>
        <v>1502976156.2799997</v>
      </c>
      <c r="K80" s="132">
        <f>'Trans Plant-Rsrve Act'!K12</f>
        <v>64594821.649999999</v>
      </c>
      <c r="L80" s="132">
        <f>'Trans Plant-Rsrve Act'!L12</f>
        <v>283742241.31999999</v>
      </c>
      <c r="M80" s="132">
        <f>'Trans Plant-Rsrve Act'!M12</f>
        <v>205412539.66</v>
      </c>
      <c r="N80" s="133">
        <f t="shared" si="4"/>
        <v>11831462585.4</v>
      </c>
    </row>
    <row r="81" spans="2:14" x14ac:dyDescent="0.25">
      <c r="B81" s="130">
        <f t="shared" si="5"/>
        <v>34</v>
      </c>
      <c r="C81" s="145" t="str">
        <f t="shared" si="6"/>
        <v>Jun 2016</v>
      </c>
      <c r="D81" s="132">
        <f>'Trans Plant-Rsrve Act'!D13</f>
        <v>129471531.20999999</v>
      </c>
      <c r="E81" s="132">
        <f>'Trans Plant-Rsrve Act'!E13</f>
        <v>206521860.64999998</v>
      </c>
      <c r="F81" s="132">
        <f>'Trans Plant-Rsrve Act'!F13</f>
        <v>758346667.17000008</v>
      </c>
      <c r="G81" s="132">
        <f>'Trans Plant-Rsrve Act'!G13</f>
        <v>5386916234.0199995</v>
      </c>
      <c r="H81" s="132">
        <f>'Trans Plant-Rsrve Act'!H13</f>
        <v>2255499745.8399997</v>
      </c>
      <c r="I81" s="132">
        <f>'Trans Plant-Rsrve Act'!I13</f>
        <v>1095086004.6800001</v>
      </c>
      <c r="J81" s="132">
        <f>'Trans Plant-Rsrve Act'!J13</f>
        <v>1505142343.9800003</v>
      </c>
      <c r="K81" s="132">
        <f>'Trans Plant-Rsrve Act'!K13</f>
        <v>67845750.200000003</v>
      </c>
      <c r="L81" s="132">
        <f>'Trans Plant-Rsrve Act'!L13</f>
        <v>307996466.71000004</v>
      </c>
      <c r="M81" s="132">
        <f>'Trans Plant-Rsrve Act'!M13</f>
        <v>208722402.01999998</v>
      </c>
      <c r="N81" s="133">
        <f t="shared" si="4"/>
        <v>11921549006.48</v>
      </c>
    </row>
    <row r="82" spans="2:14" x14ac:dyDescent="0.25">
      <c r="B82" s="130">
        <f t="shared" si="5"/>
        <v>35</v>
      </c>
      <c r="C82" s="145" t="str">
        <f t="shared" si="6"/>
        <v>Jul 2016</v>
      </c>
      <c r="D82" s="132">
        <f>'Trans Plant-Rsrve Act'!D14</f>
        <v>129475315.44</v>
      </c>
      <c r="E82" s="132">
        <f>'Trans Plant-Rsrve Act'!E14</f>
        <v>206529507.86000001</v>
      </c>
      <c r="F82" s="132">
        <f>'Trans Plant-Rsrve Act'!F14</f>
        <v>770153636.69000018</v>
      </c>
      <c r="G82" s="132">
        <f>'Trans Plant-Rsrve Act'!G14</f>
        <v>5472385653.0100002</v>
      </c>
      <c r="H82" s="132">
        <f>'Trans Plant-Rsrve Act'!H14</f>
        <v>2255378798.7400002</v>
      </c>
      <c r="I82" s="132">
        <f>'Trans Plant-Rsrve Act'!I14</f>
        <v>1103011205.6200001</v>
      </c>
      <c r="J82" s="132">
        <f>'Trans Plant-Rsrve Act'!J14</f>
        <v>1504634373.78</v>
      </c>
      <c r="K82" s="132">
        <f>'Trans Plant-Rsrve Act'!K14</f>
        <v>68453756.980000004</v>
      </c>
      <c r="L82" s="132">
        <f>'Trans Plant-Rsrve Act'!L14</f>
        <v>308991820.90000004</v>
      </c>
      <c r="M82" s="132">
        <f>'Trans Plant-Rsrve Act'!M14</f>
        <v>209245602.04000002</v>
      </c>
      <c r="N82" s="133">
        <f t="shared" si="4"/>
        <v>12028259671.060001</v>
      </c>
    </row>
    <row r="83" spans="2:14" x14ac:dyDescent="0.25">
      <c r="B83" s="130">
        <f t="shared" si="5"/>
        <v>36</v>
      </c>
      <c r="C83" s="145" t="str">
        <f t="shared" si="6"/>
        <v>Aug 2016</v>
      </c>
      <c r="D83" s="132">
        <f>'Trans Plant-Rsrve Act'!D15</f>
        <v>129472250.22</v>
      </c>
      <c r="E83" s="132">
        <f>'Trans Plant-Rsrve Act'!E15</f>
        <v>206549342.12</v>
      </c>
      <c r="F83" s="132">
        <f>'Trans Plant-Rsrve Act'!F15</f>
        <v>769327742.98000002</v>
      </c>
      <c r="G83" s="132">
        <f>'Trans Plant-Rsrve Act'!G15</f>
        <v>5472858382.5599995</v>
      </c>
      <c r="H83" s="132">
        <f>'Trans Plant-Rsrve Act'!H15</f>
        <v>2275896336.4900002</v>
      </c>
      <c r="I83" s="132">
        <f>'Trans Plant-Rsrve Act'!I15</f>
        <v>1113130924.3100002</v>
      </c>
      <c r="J83" s="132">
        <f>'Trans Plant-Rsrve Act'!J15</f>
        <v>1499109784.7699997</v>
      </c>
      <c r="K83" s="132">
        <f>'Trans Plant-Rsrve Act'!K15</f>
        <v>69115778.870000005</v>
      </c>
      <c r="L83" s="132">
        <f>'Trans Plant-Rsrve Act'!L15</f>
        <v>307862522.88999999</v>
      </c>
      <c r="M83" s="132">
        <f>'Trans Plant-Rsrve Act'!M15</f>
        <v>195235924.28000003</v>
      </c>
      <c r="N83" s="133">
        <f t="shared" si="4"/>
        <v>12038558989.49</v>
      </c>
    </row>
    <row r="84" spans="2:14" x14ac:dyDescent="0.25">
      <c r="B84" s="130">
        <f t="shared" si="5"/>
        <v>37</v>
      </c>
      <c r="C84" s="145" t="str">
        <f t="shared" si="6"/>
        <v>Sep 2016</v>
      </c>
      <c r="D84" s="132">
        <f>'Trans Plant-Rsrve Act'!D16</f>
        <v>129486154.72999999</v>
      </c>
      <c r="E84" s="132">
        <f>'Trans Plant-Rsrve Act'!E16</f>
        <v>209278478.73000002</v>
      </c>
      <c r="F84" s="132">
        <f>'Trans Plant-Rsrve Act'!F16</f>
        <v>771511220.88</v>
      </c>
      <c r="G84" s="132">
        <f>'Trans Plant-Rsrve Act'!G16</f>
        <v>5478846799.5299997</v>
      </c>
      <c r="H84" s="132">
        <f>'Trans Plant-Rsrve Act'!H16</f>
        <v>2277142361.3200002</v>
      </c>
      <c r="I84" s="132">
        <f>'Trans Plant-Rsrve Act'!I16</f>
        <v>1123636140.9800003</v>
      </c>
      <c r="J84" s="132">
        <f>'Trans Plant-Rsrve Act'!J16</f>
        <v>1508232675.4299998</v>
      </c>
      <c r="K84" s="132">
        <f>'Trans Plant-Rsrve Act'!K16</f>
        <v>248255064.56</v>
      </c>
      <c r="L84" s="132">
        <f>'Trans Plant-Rsrve Act'!L16</f>
        <v>370623766.88999999</v>
      </c>
      <c r="M84" s="132">
        <f>'Trans Plant-Rsrve Act'!M16</f>
        <v>195222055.22999999</v>
      </c>
      <c r="N84" s="133">
        <f t="shared" si="4"/>
        <v>12312234718.279999</v>
      </c>
    </row>
    <row r="85" spans="2:14" x14ac:dyDescent="0.25">
      <c r="B85" s="130">
        <f t="shared" si="5"/>
        <v>38</v>
      </c>
      <c r="C85" s="145" t="str">
        <f t="shared" si="6"/>
        <v>Oct 2016</v>
      </c>
      <c r="D85" s="132">
        <f>'Trans Plant-Rsrve Act'!D17</f>
        <v>129485354.11</v>
      </c>
      <c r="E85" s="132">
        <f>'Trans Plant-Rsrve Act'!E17</f>
        <v>209396750.44999999</v>
      </c>
      <c r="F85" s="132">
        <f>'Trans Plant-Rsrve Act'!F17</f>
        <v>805401883.48000002</v>
      </c>
      <c r="G85" s="132">
        <f>'Trans Plant-Rsrve Act'!G17</f>
        <v>5503702708.6100006</v>
      </c>
      <c r="H85" s="132">
        <f>'Trans Plant-Rsrve Act'!H17</f>
        <v>2286042052.0300002</v>
      </c>
      <c r="I85" s="132">
        <f>'Trans Plant-Rsrve Act'!I17</f>
        <v>1133087097.1400001</v>
      </c>
      <c r="J85" s="132">
        <f>'Trans Plant-Rsrve Act'!J17</f>
        <v>1515768066.8400002</v>
      </c>
      <c r="K85" s="132">
        <f>'Trans Plant-Rsrve Act'!K17</f>
        <v>244462304.34</v>
      </c>
      <c r="L85" s="132">
        <f>'Trans Plant-Rsrve Act'!L17</f>
        <v>372715446.16000003</v>
      </c>
      <c r="M85" s="132">
        <f>'Trans Plant-Rsrve Act'!M17</f>
        <v>195800867.90000001</v>
      </c>
      <c r="N85" s="133">
        <f t="shared" si="4"/>
        <v>12395862531.059999</v>
      </c>
    </row>
    <row r="86" spans="2:14" x14ac:dyDescent="0.25">
      <c r="B86" s="130">
        <f t="shared" si="5"/>
        <v>39</v>
      </c>
      <c r="C86" s="145" t="str">
        <f t="shared" si="6"/>
        <v>Nov 2016</v>
      </c>
      <c r="D86" s="132">
        <f>'Trans Plant-Rsrve Act'!D18</f>
        <v>129492827.86</v>
      </c>
      <c r="E86" s="132">
        <f>'Trans Plant-Rsrve Act'!E18</f>
        <v>209426561.17000002</v>
      </c>
      <c r="F86" s="132">
        <f>'Trans Plant-Rsrve Act'!F18</f>
        <v>812167139.08000004</v>
      </c>
      <c r="G86" s="132">
        <f>'Trans Plant-Rsrve Act'!G18</f>
        <v>5524691107.1199989</v>
      </c>
      <c r="H86" s="132">
        <f>'Trans Plant-Rsrve Act'!H18</f>
        <v>2291044950.3899999</v>
      </c>
      <c r="I86" s="132">
        <f>'Trans Plant-Rsrve Act'!I18</f>
        <v>1143622430.5599999</v>
      </c>
      <c r="J86" s="132">
        <f>'Trans Plant-Rsrve Act'!J18</f>
        <v>1513544439.74</v>
      </c>
      <c r="K86" s="132">
        <f>'Trans Plant-Rsrve Act'!K18</f>
        <v>252813477.84</v>
      </c>
      <c r="L86" s="132">
        <f>'Trans Plant-Rsrve Act'!L18</f>
        <v>368838527.86000001</v>
      </c>
      <c r="M86" s="132">
        <f>'Trans Plant-Rsrve Act'!M18</f>
        <v>196000837.64000002</v>
      </c>
      <c r="N86" s="133">
        <f t="shared" si="4"/>
        <v>12441642299.259998</v>
      </c>
    </row>
    <row r="87" spans="2:14" x14ac:dyDescent="0.25">
      <c r="B87" s="130">
        <f t="shared" si="5"/>
        <v>40</v>
      </c>
      <c r="C87" s="145" t="str">
        <f t="shared" si="6"/>
        <v>Dec 2016</v>
      </c>
      <c r="D87" s="132">
        <f>'Trans Plant-Rsrve Act'!D19</f>
        <v>129517154.03999999</v>
      </c>
      <c r="E87" s="132">
        <f>'Trans Plant-Rsrve Act'!E19</f>
        <v>209428812.59999999</v>
      </c>
      <c r="F87" s="166">
        <v>825778508</v>
      </c>
      <c r="G87" s="166">
        <v>5586246880</v>
      </c>
      <c r="H87" s="166">
        <v>2305498226</v>
      </c>
      <c r="I87" s="166">
        <v>1158164968</v>
      </c>
      <c r="J87" s="166">
        <v>1499811260</v>
      </c>
      <c r="K87" s="166">
        <v>253220290</v>
      </c>
      <c r="L87" s="166">
        <v>368734329</v>
      </c>
      <c r="M87" s="166">
        <v>200535234</v>
      </c>
      <c r="N87" s="133">
        <f>SUM(D87:M87)</f>
        <v>12536935661.639999</v>
      </c>
    </row>
    <row r="89" spans="2:14" x14ac:dyDescent="0.25">
      <c r="C89" s="167" t="s">
        <v>70</v>
      </c>
      <c r="D89" s="142"/>
      <c r="E89" s="142"/>
      <c r="F89" s="142"/>
    </row>
    <row r="90" spans="2:14" x14ac:dyDescent="0.25">
      <c r="C90" s="142"/>
      <c r="D90" s="142"/>
      <c r="E90" s="142"/>
    </row>
    <row r="91" spans="2:14" x14ac:dyDescent="0.25">
      <c r="B91" s="9"/>
      <c r="C91" s="168" t="s">
        <v>5</v>
      </c>
      <c r="D91" s="168" t="s">
        <v>6</v>
      </c>
      <c r="E91" s="168" t="s">
        <v>7</v>
      </c>
      <c r="F91" s="124" t="s">
        <v>8</v>
      </c>
      <c r="G91" s="124" t="s">
        <v>9</v>
      </c>
      <c r="H91" s="124" t="s">
        <v>10</v>
      </c>
      <c r="I91" s="124" t="s">
        <v>11</v>
      </c>
      <c r="J91" s="124" t="s">
        <v>12</v>
      </c>
      <c r="K91" s="124" t="s">
        <v>13</v>
      </c>
      <c r="L91" s="124" t="s">
        <v>14</v>
      </c>
      <c r="M91" s="124" t="s">
        <v>15</v>
      </c>
      <c r="N91" s="124" t="s">
        <v>16</v>
      </c>
    </row>
    <row r="92" spans="2:14" x14ac:dyDescent="0.25">
      <c r="B92" s="118"/>
      <c r="C92" s="169"/>
      <c r="D92" s="141"/>
      <c r="E92" s="141"/>
      <c r="F92" s="118"/>
      <c r="G92" s="118"/>
      <c r="H92" s="118"/>
      <c r="I92" s="118"/>
      <c r="J92" s="118"/>
      <c r="K92" s="118"/>
      <c r="L92" s="118"/>
      <c r="N92" s="126" t="s">
        <v>17</v>
      </c>
    </row>
    <row r="93" spans="2:14" x14ac:dyDescent="0.25">
      <c r="B93" s="128"/>
      <c r="C93" s="127" t="s">
        <v>19</v>
      </c>
      <c r="D93" s="174">
        <v>350.1</v>
      </c>
      <c r="E93" s="174">
        <v>350.2</v>
      </c>
      <c r="F93" s="129">
        <v>352</v>
      </c>
      <c r="G93" s="129">
        <v>353</v>
      </c>
      <c r="H93" s="129">
        <v>354</v>
      </c>
      <c r="I93" s="129">
        <v>355</v>
      </c>
      <c r="J93" s="129">
        <v>356</v>
      </c>
      <c r="K93" s="129">
        <v>357</v>
      </c>
      <c r="L93" s="129">
        <v>358</v>
      </c>
      <c r="M93" s="129">
        <v>359</v>
      </c>
      <c r="N93" s="130" t="s">
        <v>20</v>
      </c>
    </row>
    <row r="94" spans="2:14" x14ac:dyDescent="0.25">
      <c r="B94" s="130">
        <f>B87+1</f>
        <v>41</v>
      </c>
      <c r="C94" s="145" t="str">
        <f>C76</f>
        <v>Jan 2016</v>
      </c>
      <c r="D94" s="166">
        <f>D76-D75</f>
        <v>-1616115.0899999887</v>
      </c>
      <c r="E94" s="166">
        <f>E76-E75</f>
        <v>21088.909999996424</v>
      </c>
      <c r="F94" s="166">
        <f t="shared" ref="F94:M94" si="7">F76-F75</f>
        <v>16509108.519999981</v>
      </c>
      <c r="G94" s="166">
        <f t="shared" si="7"/>
        <v>13622374.540000916</v>
      </c>
      <c r="H94" s="166">
        <f t="shared" si="7"/>
        <v>7105316.6500000954</v>
      </c>
      <c r="I94" s="166">
        <f t="shared" si="7"/>
        <v>10706735.98999989</v>
      </c>
      <c r="J94" s="166">
        <f t="shared" si="7"/>
        <v>8816322.5700001717</v>
      </c>
      <c r="K94" s="166">
        <f t="shared" si="7"/>
        <v>938442.97000000626</v>
      </c>
      <c r="L94" s="166">
        <f t="shared" si="7"/>
        <v>1701955.1899999976</v>
      </c>
      <c r="M94" s="166">
        <f t="shared" si="7"/>
        <v>230848</v>
      </c>
      <c r="N94" s="133">
        <f t="shared" ref="N94:N105" si="8">SUM(D94:M94)</f>
        <v>58036078.250001065</v>
      </c>
    </row>
    <row r="95" spans="2:14" x14ac:dyDescent="0.25">
      <c r="B95" s="130">
        <f t="shared" ref="B95:B106" si="9">B94+1</f>
        <v>42</v>
      </c>
      <c r="C95" s="145" t="str">
        <f t="shared" ref="C95:C105" si="10">C77</f>
        <v>Feb 2016</v>
      </c>
      <c r="D95" s="166">
        <f t="shared" ref="D95:M105" si="11">D77-D76</f>
        <v>-1085.8700000047684</v>
      </c>
      <c r="E95" s="166">
        <f t="shared" si="11"/>
        <v>-4135.8000000119209</v>
      </c>
      <c r="F95" s="166">
        <f t="shared" si="11"/>
        <v>-6131852.0499999523</v>
      </c>
      <c r="G95" s="166">
        <f t="shared" si="11"/>
        <v>23249855.599999428</v>
      </c>
      <c r="H95" s="166">
        <f t="shared" si="11"/>
        <v>2203121.4200000763</v>
      </c>
      <c r="I95" s="166">
        <f t="shared" si="11"/>
        <v>10870938.51000011</v>
      </c>
      <c r="J95" s="166">
        <f t="shared" si="11"/>
        <v>1086600.8199999332</v>
      </c>
      <c r="K95" s="166">
        <f t="shared" si="11"/>
        <v>-24970.270000003278</v>
      </c>
      <c r="L95" s="166">
        <f t="shared" si="11"/>
        <v>103305.32000005245</v>
      </c>
      <c r="M95" s="166">
        <f t="shared" si="11"/>
        <v>304747.8599999845</v>
      </c>
      <c r="N95" s="133">
        <f t="shared" si="8"/>
        <v>31656525.539999612</v>
      </c>
    </row>
    <row r="96" spans="2:14" x14ac:dyDescent="0.25">
      <c r="B96" s="130">
        <f t="shared" si="9"/>
        <v>43</v>
      </c>
      <c r="C96" s="145" t="str">
        <f t="shared" si="10"/>
        <v>Mar 2016</v>
      </c>
      <c r="D96" s="166">
        <f t="shared" si="11"/>
        <v>9933997.5699999928</v>
      </c>
      <c r="E96" s="166">
        <f t="shared" si="11"/>
        <v>82797.480000019073</v>
      </c>
      <c r="F96" s="166">
        <f t="shared" si="11"/>
        <v>14032186.529999852</v>
      </c>
      <c r="G96" s="166">
        <f t="shared" si="11"/>
        <v>30194225.859998703</v>
      </c>
      <c r="H96" s="166">
        <f t="shared" si="11"/>
        <v>1257328.3500003815</v>
      </c>
      <c r="I96" s="166">
        <f t="shared" si="11"/>
        <v>25150862.699999928</v>
      </c>
      <c r="J96" s="166">
        <f t="shared" si="11"/>
        <v>9930133.4799997807</v>
      </c>
      <c r="K96" s="166">
        <f t="shared" si="11"/>
        <v>27210.070000000298</v>
      </c>
      <c r="L96" s="166">
        <f t="shared" si="11"/>
        <v>1421894.9099999666</v>
      </c>
      <c r="M96" s="166">
        <f t="shared" si="11"/>
        <v>8994215.4300000072</v>
      </c>
      <c r="N96" s="133">
        <f t="shared" si="8"/>
        <v>101024852.37999862</v>
      </c>
    </row>
    <row r="97" spans="2:14" x14ac:dyDescent="0.25">
      <c r="B97" s="130">
        <f t="shared" si="9"/>
        <v>44</v>
      </c>
      <c r="C97" s="145" t="str">
        <f t="shared" si="10"/>
        <v>Apr 2016</v>
      </c>
      <c r="D97" s="166">
        <f t="shared" si="11"/>
        <v>10154.260000005364</v>
      </c>
      <c r="E97" s="166">
        <f t="shared" si="11"/>
        <v>45961.920000016689</v>
      </c>
      <c r="F97" s="166">
        <f t="shared" si="11"/>
        <v>36561502.870000005</v>
      </c>
      <c r="G97" s="166">
        <f t="shared" si="11"/>
        <v>19937830.550000191</v>
      </c>
      <c r="H97" s="166">
        <f t="shared" si="11"/>
        <v>523230.51999950409</v>
      </c>
      <c r="I97" s="166">
        <f t="shared" si="11"/>
        <v>13223622.820000052</v>
      </c>
      <c r="J97" s="166">
        <f t="shared" si="11"/>
        <v>343204.25999999046</v>
      </c>
      <c r="K97" s="166">
        <f t="shared" si="11"/>
        <v>2327052.7299999967</v>
      </c>
      <c r="L97" s="166">
        <f t="shared" si="11"/>
        <v>9963639.4600000381</v>
      </c>
      <c r="M97" s="166">
        <f t="shared" si="11"/>
        <v>699508.53000000119</v>
      </c>
      <c r="N97" s="133">
        <f t="shared" si="8"/>
        <v>83635707.919999808</v>
      </c>
    </row>
    <row r="98" spans="2:14" x14ac:dyDescent="0.25">
      <c r="B98" s="130">
        <f t="shared" si="9"/>
        <v>45</v>
      </c>
      <c r="C98" s="145" t="str">
        <f t="shared" si="10"/>
        <v>May 2016</v>
      </c>
      <c r="D98" s="166">
        <f t="shared" si="11"/>
        <v>8352.6299999952316</v>
      </c>
      <c r="E98" s="166">
        <f t="shared" si="11"/>
        <v>8957.7999999821186</v>
      </c>
      <c r="F98" s="166">
        <f t="shared" si="11"/>
        <v>1116903.2099997997</v>
      </c>
      <c r="G98" s="166">
        <f t="shared" si="11"/>
        <v>2255073.8300008774</v>
      </c>
      <c r="H98" s="166">
        <f t="shared" si="11"/>
        <v>3687880.509999752</v>
      </c>
      <c r="I98" s="166">
        <f t="shared" si="11"/>
        <v>8660482.1999999285</v>
      </c>
      <c r="J98" s="166">
        <f t="shared" si="11"/>
        <v>692271.42999982834</v>
      </c>
      <c r="K98" s="166">
        <f t="shared" si="11"/>
        <v>240023.78000000119</v>
      </c>
      <c r="L98" s="166">
        <f t="shared" si="11"/>
        <v>1939123.8499999642</v>
      </c>
      <c r="M98" s="166">
        <f t="shared" si="11"/>
        <v>1165179.2299999893</v>
      </c>
      <c r="N98" s="133">
        <f t="shared" si="8"/>
        <v>19774248.470000118</v>
      </c>
    </row>
    <row r="99" spans="2:14" x14ac:dyDescent="0.25">
      <c r="B99" s="130">
        <f t="shared" si="9"/>
        <v>46</v>
      </c>
      <c r="C99" s="145" t="str">
        <f t="shared" si="10"/>
        <v>Jun 2016</v>
      </c>
      <c r="D99" s="166">
        <f t="shared" si="11"/>
        <v>-521704.04999999702</v>
      </c>
      <c r="E99" s="166">
        <f t="shared" si="11"/>
        <v>-405605.62000003457</v>
      </c>
      <c r="F99" s="166">
        <f t="shared" si="11"/>
        <v>9431414.2700002193</v>
      </c>
      <c r="G99" s="166">
        <f t="shared" si="11"/>
        <v>49945066.599999428</v>
      </c>
      <c r="H99" s="166">
        <f t="shared" si="11"/>
        <v>-19249957.25</v>
      </c>
      <c r="I99" s="166">
        <f t="shared" si="11"/>
        <v>17906003.130000114</v>
      </c>
      <c r="J99" s="166">
        <f t="shared" si="11"/>
        <v>2166187.7000005245</v>
      </c>
      <c r="K99" s="166">
        <f t="shared" si="11"/>
        <v>3250928.5500000045</v>
      </c>
      <c r="L99" s="166">
        <f t="shared" si="11"/>
        <v>24254225.390000045</v>
      </c>
      <c r="M99" s="166">
        <f t="shared" si="11"/>
        <v>3309862.3599999845</v>
      </c>
      <c r="N99" s="133">
        <f t="shared" si="8"/>
        <v>90086421.080000281</v>
      </c>
    </row>
    <row r="100" spans="2:14" x14ac:dyDescent="0.25">
      <c r="B100" s="130">
        <f t="shared" si="9"/>
        <v>47</v>
      </c>
      <c r="C100" s="145" t="str">
        <f t="shared" si="10"/>
        <v>Jul 2016</v>
      </c>
      <c r="D100" s="166">
        <f t="shared" si="11"/>
        <v>3784.2300000041723</v>
      </c>
      <c r="E100" s="166">
        <f t="shared" si="11"/>
        <v>7647.210000038147</v>
      </c>
      <c r="F100" s="166">
        <f t="shared" si="11"/>
        <v>11806969.5200001</v>
      </c>
      <c r="G100" s="166">
        <f t="shared" si="11"/>
        <v>85469418.990000725</v>
      </c>
      <c r="H100" s="166">
        <f t="shared" si="11"/>
        <v>-120947.0999994278</v>
      </c>
      <c r="I100" s="166">
        <f t="shared" si="11"/>
        <v>7925200.9400000572</v>
      </c>
      <c r="J100" s="166">
        <f t="shared" si="11"/>
        <v>-507970.2000002861</v>
      </c>
      <c r="K100" s="166">
        <f t="shared" si="11"/>
        <v>608006.78000000119</v>
      </c>
      <c r="L100" s="166">
        <f t="shared" si="11"/>
        <v>995354.18999999762</v>
      </c>
      <c r="M100" s="166">
        <f t="shared" si="11"/>
        <v>523200.02000004053</v>
      </c>
      <c r="N100" s="133">
        <f t="shared" si="8"/>
        <v>106710664.58000125</v>
      </c>
    </row>
    <row r="101" spans="2:14" x14ac:dyDescent="0.25">
      <c r="B101" s="130">
        <f t="shared" si="9"/>
        <v>48</v>
      </c>
      <c r="C101" s="145" t="str">
        <f t="shared" si="10"/>
        <v>Aug 2016</v>
      </c>
      <c r="D101" s="166">
        <f t="shared" si="11"/>
        <v>-3065.2199999988079</v>
      </c>
      <c r="E101" s="166">
        <f t="shared" si="11"/>
        <v>19834.259999990463</v>
      </c>
      <c r="F101" s="166">
        <f t="shared" si="11"/>
        <v>-825893.71000015736</v>
      </c>
      <c r="G101" s="166">
        <f t="shared" si="11"/>
        <v>472729.54999923706</v>
      </c>
      <c r="H101" s="166">
        <f t="shared" si="11"/>
        <v>20517537.75</v>
      </c>
      <c r="I101" s="166">
        <f t="shared" si="11"/>
        <v>10119718.690000057</v>
      </c>
      <c r="J101" s="166">
        <f t="shared" si="11"/>
        <v>-5524589.0100002289</v>
      </c>
      <c r="K101" s="166">
        <f t="shared" si="11"/>
        <v>662021.8900000006</v>
      </c>
      <c r="L101" s="166">
        <f t="shared" si="11"/>
        <v>-1129298.0100000501</v>
      </c>
      <c r="M101" s="166">
        <f t="shared" si="11"/>
        <v>-14009677.75999999</v>
      </c>
      <c r="N101" s="133">
        <f t="shared" si="8"/>
        <v>10299318.42999886</v>
      </c>
    </row>
    <row r="102" spans="2:14" x14ac:dyDescent="0.25">
      <c r="B102" s="130">
        <f t="shared" si="9"/>
        <v>49</v>
      </c>
      <c r="C102" s="145" t="str">
        <f t="shared" si="10"/>
        <v>Sep 2016</v>
      </c>
      <c r="D102" s="166">
        <f t="shared" si="11"/>
        <v>13904.509999990463</v>
      </c>
      <c r="E102" s="166">
        <f t="shared" si="11"/>
        <v>2729136.6100000143</v>
      </c>
      <c r="F102" s="166">
        <f t="shared" si="11"/>
        <v>2183477.8999999762</v>
      </c>
      <c r="G102" s="166">
        <f t="shared" si="11"/>
        <v>5988416.970000267</v>
      </c>
      <c r="H102" s="166">
        <f t="shared" si="11"/>
        <v>1246024.8299999237</v>
      </c>
      <c r="I102" s="166">
        <f t="shared" si="11"/>
        <v>10505216.670000076</v>
      </c>
      <c r="J102" s="166">
        <f t="shared" si="11"/>
        <v>9122890.6600000858</v>
      </c>
      <c r="K102" s="166">
        <f t="shared" si="11"/>
        <v>179139285.69</v>
      </c>
      <c r="L102" s="166">
        <f t="shared" si="11"/>
        <v>62761244</v>
      </c>
      <c r="M102" s="166">
        <f t="shared" si="11"/>
        <v>-13869.050000041723</v>
      </c>
      <c r="N102" s="133">
        <f t="shared" si="8"/>
        <v>273675728.79000032</v>
      </c>
    </row>
    <row r="103" spans="2:14" x14ac:dyDescent="0.25">
      <c r="B103" s="130">
        <f t="shared" si="9"/>
        <v>50</v>
      </c>
      <c r="C103" s="145" t="str">
        <f t="shared" si="10"/>
        <v>Oct 2016</v>
      </c>
      <c r="D103" s="166">
        <f t="shared" si="11"/>
        <v>-800.61999998986721</v>
      </c>
      <c r="E103" s="166">
        <f t="shared" si="11"/>
        <v>118271.71999996901</v>
      </c>
      <c r="F103" s="166">
        <f t="shared" si="11"/>
        <v>33890662.600000024</v>
      </c>
      <c r="G103" s="166">
        <f t="shared" si="11"/>
        <v>24855909.080000877</v>
      </c>
      <c r="H103" s="166">
        <f t="shared" si="11"/>
        <v>8899690.7100000381</v>
      </c>
      <c r="I103" s="166">
        <f t="shared" si="11"/>
        <v>9450956.1599998474</v>
      </c>
      <c r="J103" s="166">
        <f t="shared" si="11"/>
        <v>7535391.4100003242</v>
      </c>
      <c r="K103" s="166">
        <f t="shared" si="11"/>
        <v>-3792760.2199999988</v>
      </c>
      <c r="L103" s="166">
        <f t="shared" si="11"/>
        <v>2091679.2700000405</v>
      </c>
      <c r="M103" s="166">
        <f t="shared" si="11"/>
        <v>578812.67000001669</v>
      </c>
      <c r="N103" s="133">
        <f t="shared" si="8"/>
        <v>83627812.780001149</v>
      </c>
    </row>
    <row r="104" spans="2:14" x14ac:dyDescent="0.25">
      <c r="B104" s="130">
        <f t="shared" si="9"/>
        <v>51</v>
      </c>
      <c r="C104" s="145" t="str">
        <f t="shared" si="10"/>
        <v>Nov 2016</v>
      </c>
      <c r="D104" s="166">
        <f t="shared" si="11"/>
        <v>7473.75</v>
      </c>
      <c r="E104" s="166">
        <f t="shared" si="11"/>
        <v>29810.72000002861</v>
      </c>
      <c r="F104" s="166">
        <f t="shared" si="11"/>
        <v>6765255.6000000238</v>
      </c>
      <c r="G104" s="166">
        <f t="shared" si="11"/>
        <v>20988398.509998322</v>
      </c>
      <c r="H104" s="166">
        <f t="shared" si="11"/>
        <v>5002898.3599996567</v>
      </c>
      <c r="I104" s="166">
        <f t="shared" si="11"/>
        <v>10535333.419999838</v>
      </c>
      <c r="J104" s="166">
        <f t="shared" si="11"/>
        <v>-2223627.1000001431</v>
      </c>
      <c r="K104" s="166">
        <f t="shared" si="11"/>
        <v>8351173.5</v>
      </c>
      <c r="L104" s="166">
        <f t="shared" si="11"/>
        <v>-3876918.3000000119</v>
      </c>
      <c r="M104" s="166">
        <f t="shared" si="11"/>
        <v>199969.74000000954</v>
      </c>
      <c r="N104" s="133">
        <f t="shared" si="8"/>
        <v>45779768.199997723</v>
      </c>
    </row>
    <row r="105" spans="2:14" x14ac:dyDescent="0.25">
      <c r="B105" s="130">
        <f t="shared" si="9"/>
        <v>52</v>
      </c>
      <c r="C105" s="145" t="str">
        <f t="shared" si="10"/>
        <v>Dec 2016</v>
      </c>
      <c r="D105" s="166">
        <f t="shared" si="11"/>
        <v>24326.179999992251</v>
      </c>
      <c r="E105" s="166">
        <f t="shared" si="11"/>
        <v>2251.4299999773502</v>
      </c>
      <c r="F105" s="166">
        <f t="shared" si="11"/>
        <v>13611368.919999957</v>
      </c>
      <c r="G105" s="166">
        <f t="shared" si="11"/>
        <v>61555772.880001068</v>
      </c>
      <c r="H105" s="166">
        <f t="shared" si="11"/>
        <v>14453275.610000134</v>
      </c>
      <c r="I105" s="166">
        <f t="shared" si="11"/>
        <v>14542537.440000057</v>
      </c>
      <c r="J105" s="166">
        <f t="shared" si="11"/>
        <v>-13733179.74000001</v>
      </c>
      <c r="K105" s="166">
        <f t="shared" si="11"/>
        <v>406812.15999999642</v>
      </c>
      <c r="L105" s="166">
        <f t="shared" si="11"/>
        <v>-104198.86000001431</v>
      </c>
      <c r="M105" s="166">
        <f t="shared" si="11"/>
        <v>4534396.3599999845</v>
      </c>
      <c r="N105" s="133">
        <f t="shared" si="8"/>
        <v>95293362.380001143</v>
      </c>
    </row>
    <row r="106" spans="2:14" x14ac:dyDescent="0.25">
      <c r="B106" s="130">
        <f t="shared" si="9"/>
        <v>53</v>
      </c>
      <c r="C106" s="136" t="s">
        <v>71</v>
      </c>
      <c r="D106" s="184">
        <f>SUM(D94:D105)</f>
        <v>7859222.2800000012</v>
      </c>
      <c r="E106" s="184">
        <f t="shared" ref="E106:M106" si="12">SUM(E94:E105)</f>
        <v>2656016.6399999857</v>
      </c>
      <c r="F106" s="184">
        <f t="shared" si="12"/>
        <v>138951104.17999983</v>
      </c>
      <c r="G106" s="184">
        <f t="shared" si="12"/>
        <v>338535072.96000004</v>
      </c>
      <c r="H106" s="184">
        <f t="shared" si="12"/>
        <v>45525400.360000134</v>
      </c>
      <c r="I106" s="184">
        <f t="shared" si="12"/>
        <v>149597608.66999996</v>
      </c>
      <c r="J106" s="184">
        <f t="shared" si="12"/>
        <v>17703636.279999971</v>
      </c>
      <c r="K106" s="184">
        <f t="shared" si="12"/>
        <v>192133227.63</v>
      </c>
      <c r="L106" s="184">
        <f t="shared" si="12"/>
        <v>100122006.41000003</v>
      </c>
      <c r="M106" s="184">
        <f t="shared" si="12"/>
        <v>6517193.3899999857</v>
      </c>
      <c r="N106" s="184">
        <f>SUM(D106:M106)</f>
        <v>999600488.79999983</v>
      </c>
    </row>
    <row r="107" spans="2:14" x14ac:dyDescent="0.25">
      <c r="B107" s="130"/>
      <c r="C107" s="136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</row>
    <row r="108" spans="2:14" x14ac:dyDescent="0.25">
      <c r="C108" s="167" t="s">
        <v>72</v>
      </c>
      <c r="D108" s="142"/>
      <c r="E108" s="142"/>
      <c r="F108" s="142"/>
    </row>
    <row r="109" spans="2:14" x14ac:dyDescent="0.25">
      <c r="C109" s="142"/>
      <c r="D109" s="142"/>
      <c r="E109" s="142"/>
    </row>
    <row r="110" spans="2:14" x14ac:dyDescent="0.25">
      <c r="B110" s="9"/>
      <c r="C110" s="168" t="s">
        <v>5</v>
      </c>
      <c r="D110" s="168" t="s">
        <v>6</v>
      </c>
      <c r="E110" s="168" t="s">
        <v>7</v>
      </c>
      <c r="F110" s="124" t="s">
        <v>8</v>
      </c>
      <c r="G110" s="124" t="s">
        <v>9</v>
      </c>
      <c r="H110" s="124" t="s">
        <v>10</v>
      </c>
      <c r="I110" s="124" t="s">
        <v>11</v>
      </c>
      <c r="J110" s="124" t="s">
        <v>12</v>
      </c>
      <c r="K110" s="124" t="s">
        <v>13</v>
      </c>
      <c r="L110" s="124" t="s">
        <v>14</v>
      </c>
      <c r="M110" s="124" t="s">
        <v>15</v>
      </c>
      <c r="N110" s="124" t="s">
        <v>16</v>
      </c>
    </row>
    <row r="111" spans="2:14" x14ac:dyDescent="0.25">
      <c r="B111" s="118"/>
      <c r="C111" s="169"/>
      <c r="D111" s="141"/>
      <c r="E111" s="141"/>
      <c r="F111" s="118"/>
      <c r="G111" s="118"/>
      <c r="H111" s="118"/>
      <c r="I111" s="118"/>
      <c r="J111" s="118"/>
      <c r="K111" s="118"/>
      <c r="L111" s="118"/>
      <c r="N111" s="126" t="s">
        <v>17</v>
      </c>
    </row>
    <row r="112" spans="2:14" x14ac:dyDescent="0.25">
      <c r="B112" s="128"/>
      <c r="C112" s="127" t="s">
        <v>19</v>
      </c>
      <c r="D112" s="174">
        <v>350.1</v>
      </c>
      <c r="E112" s="174">
        <v>350.2</v>
      </c>
      <c r="F112" s="129">
        <v>352</v>
      </c>
      <c r="G112" s="129">
        <v>353</v>
      </c>
      <c r="H112" s="129">
        <v>354</v>
      </c>
      <c r="I112" s="129">
        <v>355</v>
      </c>
      <c r="J112" s="129">
        <v>356</v>
      </c>
      <c r="K112" s="129">
        <v>357</v>
      </c>
      <c r="L112" s="129">
        <v>358</v>
      </c>
      <c r="M112" s="129">
        <v>359</v>
      </c>
      <c r="N112" s="130" t="s">
        <v>20</v>
      </c>
    </row>
    <row r="113" spans="2:14" x14ac:dyDescent="0.25">
      <c r="B113" s="130">
        <f>B106+1</f>
        <v>54</v>
      </c>
      <c r="C113" s="145" t="str">
        <f>C75</f>
        <v>Dec 2015</v>
      </c>
      <c r="D113" s="192">
        <f>'Trans Plant-Rsrve Act'!D23</f>
        <v>9194806.9400000013</v>
      </c>
      <c r="E113" s="192">
        <f>'Trans Plant-Rsrve Act'!E23</f>
        <v>94260653.49000001</v>
      </c>
      <c r="F113" s="192">
        <f>'Trans Plant-Rsrve Act'!F23</f>
        <v>264762213.59285629</v>
      </c>
      <c r="G113" s="192">
        <f>'Trans Plant-Rsrve Act'!G23</f>
        <v>1088156185.9547434</v>
      </c>
      <c r="H113" s="192">
        <f>'Trans Plant-Rsrve Act'!H23</f>
        <v>1705207063.9718261</v>
      </c>
      <c r="I113" s="192">
        <f>'Trans Plant-Rsrve Act'!I23</f>
        <v>149246224.34000003</v>
      </c>
      <c r="J113" s="192">
        <f>'Trans Plant-Rsrve Act'!J23</f>
        <v>827237631.93719709</v>
      </c>
      <c r="K113" s="192">
        <f>'Trans Plant-Rsrve Act'!K23</f>
        <v>0</v>
      </c>
      <c r="L113" s="192">
        <f>'Trans Plant-Rsrve Act'!L23</f>
        <v>11017486.739999998</v>
      </c>
      <c r="M113" s="192">
        <f>'Trans Plant-Rsrve Act'!M23</f>
        <v>147473890.09059188</v>
      </c>
      <c r="N113" s="170">
        <f t="shared" ref="N113:N124" si="13">SUM(D113:M113)</f>
        <v>4296556157.0572147</v>
      </c>
    </row>
    <row r="114" spans="2:14" x14ac:dyDescent="0.25">
      <c r="B114" s="130">
        <f t="shared" ref="B114:B125" si="14">B113+1</f>
        <v>55</v>
      </c>
      <c r="C114" s="145" t="str">
        <f t="shared" ref="C114:C125" si="15">C76</f>
        <v>Jan 2016</v>
      </c>
      <c r="D114" s="192">
        <f>'Trans Plant-Rsrve Act'!D24</f>
        <v>9194806.9400000013</v>
      </c>
      <c r="E114" s="192">
        <f>'Trans Plant-Rsrve Act'!E24</f>
        <v>94260653.49000001</v>
      </c>
      <c r="F114" s="192">
        <f>'Trans Plant-Rsrve Act'!F24</f>
        <v>264864093.25285631</v>
      </c>
      <c r="G114" s="192">
        <f>'Trans Plant-Rsrve Act'!G24</f>
        <v>1088146837.1347432</v>
      </c>
      <c r="H114" s="192">
        <f>'Trans Plant-Rsrve Act'!H24</f>
        <v>1706416313.6318264</v>
      </c>
      <c r="I114" s="192">
        <f>'Trans Plant-Rsrve Act'!I24</f>
        <v>150319160.80000001</v>
      </c>
      <c r="J114" s="192">
        <f>'Trans Plant-Rsrve Act'!J24</f>
        <v>826634498.65719712</v>
      </c>
      <c r="K114" s="192">
        <f>'Trans Plant-Rsrve Act'!K24</f>
        <v>0</v>
      </c>
      <c r="L114" s="192">
        <f>'Trans Plant-Rsrve Act'!L24</f>
        <v>11017486.739999998</v>
      </c>
      <c r="M114" s="192">
        <f>'Trans Plant-Rsrve Act'!M24</f>
        <v>147748674.61059186</v>
      </c>
      <c r="N114" s="170">
        <f t="shared" si="13"/>
        <v>4298602525.2572145</v>
      </c>
    </row>
    <row r="115" spans="2:14" x14ac:dyDescent="0.25">
      <c r="B115" s="130">
        <f t="shared" si="14"/>
        <v>56</v>
      </c>
      <c r="C115" s="145" t="str">
        <f t="shared" si="15"/>
        <v>Feb 2016</v>
      </c>
      <c r="D115" s="192">
        <f>'Trans Plant-Rsrve Act'!D25</f>
        <v>9194806.9400000013</v>
      </c>
      <c r="E115" s="192">
        <f>'Trans Plant-Rsrve Act'!E25</f>
        <v>94260653.49000001</v>
      </c>
      <c r="F115" s="192">
        <f>'Trans Plant-Rsrve Act'!F25</f>
        <v>256232588.64285633</v>
      </c>
      <c r="G115" s="192">
        <f>'Trans Plant-Rsrve Act'!G25</f>
        <v>1104668932.9547431</v>
      </c>
      <c r="H115" s="192">
        <f>'Trans Plant-Rsrve Act'!H25</f>
        <v>1708608304.5518262</v>
      </c>
      <c r="I115" s="192">
        <f>'Trans Plant-Rsrve Act'!I25</f>
        <v>150648404.34</v>
      </c>
      <c r="J115" s="192">
        <f>'Trans Plant-Rsrve Act'!J25</f>
        <v>827487096.73719716</v>
      </c>
      <c r="K115" s="192">
        <f>'Trans Plant-Rsrve Act'!K25</f>
        <v>0</v>
      </c>
      <c r="L115" s="192">
        <f>'Trans Plant-Rsrve Act'!L25</f>
        <v>11017486.739999998</v>
      </c>
      <c r="M115" s="192">
        <f>'Trans Plant-Rsrve Act'!M25</f>
        <v>148047918.22059187</v>
      </c>
      <c r="N115" s="170">
        <f t="shared" si="13"/>
        <v>4310166192.6172142</v>
      </c>
    </row>
    <row r="116" spans="2:14" x14ac:dyDescent="0.25">
      <c r="B116" s="130">
        <f t="shared" si="14"/>
        <v>57</v>
      </c>
      <c r="C116" s="145" t="str">
        <f t="shared" si="15"/>
        <v>Mar 2016</v>
      </c>
      <c r="D116" s="192">
        <f>'Trans Plant-Rsrve Act'!D26</f>
        <v>19126978.300000004</v>
      </c>
      <c r="E116" s="192">
        <f>'Trans Plant-Rsrve Act'!E26</f>
        <v>94260653.49000001</v>
      </c>
      <c r="F116" s="192">
        <f>'Trans Plant-Rsrve Act'!F26</f>
        <v>256234668.32285631</v>
      </c>
      <c r="G116" s="192">
        <f>'Trans Plant-Rsrve Act'!G26</f>
        <v>1104729831.0347433</v>
      </c>
      <c r="H116" s="192">
        <f>'Trans Plant-Rsrve Act'!H26</f>
        <v>1709163792.7318263</v>
      </c>
      <c r="I116" s="192">
        <f>'Trans Plant-Rsrve Act'!I26</f>
        <v>150803662.02000001</v>
      </c>
      <c r="J116" s="192">
        <f>'Trans Plant-Rsrve Act'!J26</f>
        <v>827806071.6971972</v>
      </c>
      <c r="K116" s="192">
        <f>'Trans Plant-Rsrve Act'!K26</f>
        <v>0</v>
      </c>
      <c r="L116" s="192">
        <f>'Trans Plant-Rsrve Act'!L26</f>
        <v>11017486.739999998</v>
      </c>
      <c r="M116" s="192">
        <f>'Trans Plant-Rsrve Act'!M26</f>
        <v>148222875.88059187</v>
      </c>
      <c r="N116" s="170">
        <f t="shared" si="13"/>
        <v>4321366020.2172146</v>
      </c>
    </row>
    <row r="117" spans="2:14" x14ac:dyDescent="0.25">
      <c r="B117" s="130">
        <f t="shared" si="14"/>
        <v>58</v>
      </c>
      <c r="C117" s="145" t="str">
        <f t="shared" si="15"/>
        <v>Apr 2016</v>
      </c>
      <c r="D117" s="192">
        <f>'Trans Plant-Rsrve Act'!D27</f>
        <v>19138134.570000004</v>
      </c>
      <c r="E117" s="192">
        <f>'Trans Plant-Rsrve Act'!E27</f>
        <v>94301613.180000007</v>
      </c>
      <c r="F117" s="192">
        <f>'Trans Plant-Rsrve Act'!F27</f>
        <v>254203939.15285632</v>
      </c>
      <c r="G117" s="192">
        <f>'Trans Plant-Rsrve Act'!G27</f>
        <v>1107193320.4047434</v>
      </c>
      <c r="H117" s="192">
        <f>'Trans Plant-Rsrve Act'!H27</f>
        <v>1710950860.8118262</v>
      </c>
      <c r="I117" s="192">
        <f>'Trans Plant-Rsrve Act'!I27</f>
        <v>151031591.79000002</v>
      </c>
      <c r="J117" s="192">
        <f>'Trans Plant-Rsrve Act'!J27</f>
        <v>828384681.91719711</v>
      </c>
      <c r="K117" s="192">
        <f>'Trans Plant-Rsrve Act'!K27</f>
        <v>0</v>
      </c>
      <c r="L117" s="192">
        <f>'Trans Plant-Rsrve Act'!L27</f>
        <v>12711354.659999998</v>
      </c>
      <c r="M117" s="192">
        <f>'Trans Plant-Rsrve Act'!M27</f>
        <v>148502541.19059187</v>
      </c>
      <c r="N117" s="170">
        <f t="shared" si="13"/>
        <v>4326418037.6772146</v>
      </c>
    </row>
    <row r="118" spans="2:14" x14ac:dyDescent="0.25">
      <c r="B118" s="130">
        <f t="shared" si="14"/>
        <v>59</v>
      </c>
      <c r="C118" s="145" t="str">
        <f t="shared" si="15"/>
        <v>May 2016</v>
      </c>
      <c r="D118" s="192">
        <f>'Trans Plant-Rsrve Act'!D28</f>
        <v>19145486.310000002</v>
      </c>
      <c r="E118" s="192">
        <f>'Trans Plant-Rsrve Act'!E28</f>
        <v>94302070.180000007</v>
      </c>
      <c r="F118" s="192">
        <f>'Trans Plant-Rsrve Act'!F28</f>
        <v>254149357.29285634</v>
      </c>
      <c r="G118" s="192">
        <f>'Trans Plant-Rsrve Act'!G28</f>
        <v>1107031366.2647433</v>
      </c>
      <c r="H118" s="192">
        <f>'Trans Plant-Rsrve Act'!H28</f>
        <v>1711875468.9618261</v>
      </c>
      <c r="I118" s="192">
        <f>'Trans Plant-Rsrve Act'!I28</f>
        <v>151142645.62</v>
      </c>
      <c r="J118" s="192">
        <f>'Trans Plant-Rsrve Act'!J28</f>
        <v>828600329.36719716</v>
      </c>
      <c r="K118" s="192">
        <f>'Trans Plant-Rsrve Act'!K28</f>
        <v>0</v>
      </c>
      <c r="L118" s="192">
        <f>'Trans Plant-Rsrve Act'!L28</f>
        <v>13055404.519999998</v>
      </c>
      <c r="M118" s="192">
        <f>'Trans Plant-Rsrve Act'!M28</f>
        <v>148657277.46059185</v>
      </c>
      <c r="N118" s="170">
        <f t="shared" si="13"/>
        <v>4327959405.9772148</v>
      </c>
    </row>
    <row r="119" spans="2:14" x14ac:dyDescent="0.25">
      <c r="B119" s="130">
        <f t="shared" si="14"/>
        <v>60</v>
      </c>
      <c r="C119" s="145" t="str">
        <f t="shared" si="15"/>
        <v>Jun 2016</v>
      </c>
      <c r="D119" s="192">
        <f>'Trans Plant-Rsrve Act'!D29</f>
        <v>18622453.039999999</v>
      </c>
      <c r="E119" s="192">
        <f>'Trans Plant-Rsrve Act'!E29</f>
        <v>94832890.770000011</v>
      </c>
      <c r="F119" s="192">
        <f>'Trans Plant-Rsrve Act'!F29</f>
        <v>254220415.57285631</v>
      </c>
      <c r="G119" s="192">
        <f>'Trans Plant-Rsrve Act'!G29</f>
        <v>1106925903.2347434</v>
      </c>
      <c r="H119" s="192">
        <f>'Trans Plant-Rsrve Act'!H29</f>
        <v>1714309220.041826</v>
      </c>
      <c r="I119" s="192">
        <f>'Trans Plant-Rsrve Act'!I29</f>
        <v>150694466.38000003</v>
      </c>
      <c r="J119" s="192">
        <f>'Trans Plant-Rsrve Act'!J29</f>
        <v>829118041.80719709</v>
      </c>
      <c r="K119" s="192">
        <f>'Trans Plant-Rsrve Act'!K29</f>
        <v>0</v>
      </c>
      <c r="L119" s="192">
        <f>'Trans Plant-Rsrve Act'!L29</f>
        <v>13056703.109999998</v>
      </c>
      <c r="M119" s="192">
        <f>'Trans Plant-Rsrve Act'!M29</f>
        <v>149026056.27059186</v>
      </c>
      <c r="N119" s="170">
        <f t="shared" si="13"/>
        <v>4330806150.2272148</v>
      </c>
    </row>
    <row r="120" spans="2:14" x14ac:dyDescent="0.25">
      <c r="B120" s="130">
        <f t="shared" si="14"/>
        <v>61</v>
      </c>
      <c r="C120" s="145" t="str">
        <f t="shared" si="15"/>
        <v>Jul 2016</v>
      </c>
      <c r="D120" s="192">
        <f>'Trans Plant-Rsrve Act'!D30</f>
        <v>18631953.119999997</v>
      </c>
      <c r="E120" s="192">
        <f>'Trans Plant-Rsrve Act'!E30</f>
        <v>94836423.190000013</v>
      </c>
      <c r="F120" s="192">
        <f>'Trans Plant-Rsrve Act'!F30</f>
        <v>254225246.81285632</v>
      </c>
      <c r="G120" s="192">
        <f>'Trans Plant-Rsrve Act'!G30</f>
        <v>1106967423.2047434</v>
      </c>
      <c r="H120" s="192">
        <f>'Trans Plant-Rsrve Act'!H30</f>
        <v>1714807545.2418261</v>
      </c>
      <c r="I120" s="192">
        <f>'Trans Plant-Rsrve Act'!I30</f>
        <v>150790284.06999999</v>
      </c>
      <c r="J120" s="192">
        <f>'Trans Plant-Rsrve Act'!J30</f>
        <v>829408573.41719711</v>
      </c>
      <c r="K120" s="192">
        <f>'Trans Plant-Rsrve Act'!K30</f>
        <v>0</v>
      </c>
      <c r="L120" s="192">
        <f>'Trans Plant-Rsrve Act'!L30</f>
        <v>13057296.609999998</v>
      </c>
      <c r="M120" s="192">
        <f>'Trans Plant-Rsrve Act'!M30</f>
        <v>149196042.21059188</v>
      </c>
      <c r="N120" s="170">
        <f t="shared" si="13"/>
        <v>4331920787.8772154</v>
      </c>
    </row>
    <row r="121" spans="2:14" x14ac:dyDescent="0.25">
      <c r="B121" s="130">
        <f t="shared" si="14"/>
        <v>62</v>
      </c>
      <c r="C121" s="145" t="str">
        <f t="shared" si="15"/>
        <v>Aug 2016</v>
      </c>
      <c r="D121" s="192">
        <f>'Trans Plant-Rsrve Act'!D31</f>
        <v>18630682.509999998</v>
      </c>
      <c r="E121" s="192">
        <f>'Trans Plant-Rsrve Act'!E31</f>
        <v>94838079.660000011</v>
      </c>
      <c r="F121" s="192">
        <f>'Trans Plant-Rsrve Act'!F31</f>
        <v>254478811.42285633</v>
      </c>
      <c r="G121" s="192">
        <f>'Trans Plant-Rsrve Act'!G31</f>
        <v>1106795159.5447433</v>
      </c>
      <c r="H121" s="192">
        <f>'Trans Plant-Rsrve Act'!H31</f>
        <v>1733998073.601826</v>
      </c>
      <c r="I121" s="192">
        <f>'Trans Plant-Rsrve Act'!I31</f>
        <v>150612214.44</v>
      </c>
      <c r="J121" s="192">
        <f>'Trans Plant-Rsrve Act'!J31</f>
        <v>823462506.18719709</v>
      </c>
      <c r="K121" s="192">
        <f>'Trans Plant-Rsrve Act'!K31</f>
        <v>0</v>
      </c>
      <c r="L121" s="192">
        <f>'Trans Plant-Rsrve Act'!L31</f>
        <v>13056450.639999997</v>
      </c>
      <c r="M121" s="192">
        <f>'Trans Plant-Rsrve Act'!M31</f>
        <v>135207131.01059186</v>
      </c>
      <c r="N121" s="170">
        <f t="shared" si="13"/>
        <v>4331079109.0172148</v>
      </c>
    </row>
    <row r="122" spans="2:14" x14ac:dyDescent="0.25">
      <c r="B122" s="130">
        <f t="shared" si="14"/>
        <v>63</v>
      </c>
      <c r="C122" s="145" t="str">
        <f t="shared" si="15"/>
        <v>Sep 2016</v>
      </c>
      <c r="D122" s="192">
        <f>'Trans Plant-Rsrve Act'!D32</f>
        <v>18645991.239999998</v>
      </c>
      <c r="E122" s="192">
        <f>'Trans Plant-Rsrve Act'!E32</f>
        <v>94838061.560000017</v>
      </c>
      <c r="F122" s="192">
        <f>'Trans Plant-Rsrve Act'!F32</f>
        <v>255761080.15285629</v>
      </c>
      <c r="G122" s="192">
        <f>'Trans Plant-Rsrve Act'!G32</f>
        <v>1106857175.0547433</v>
      </c>
      <c r="H122" s="192">
        <f>'Trans Plant-Rsrve Act'!H32</f>
        <v>1734721599.081826</v>
      </c>
      <c r="I122" s="192">
        <f>'Trans Plant-Rsrve Act'!I32</f>
        <v>150551479.06000003</v>
      </c>
      <c r="J122" s="192">
        <f>'Trans Plant-Rsrve Act'!J32</f>
        <v>824970931.98719704</v>
      </c>
      <c r="K122" s="192">
        <f>'Trans Plant-Rsrve Act'!K32</f>
        <v>178296084.22</v>
      </c>
      <c r="L122" s="192">
        <f>'Trans Plant-Rsrve Act'!L32</f>
        <v>75392846.379999995</v>
      </c>
      <c r="M122" s="192">
        <f>'Trans Plant-Rsrve Act'!M32</f>
        <v>135184205.73059186</v>
      </c>
      <c r="N122" s="170">
        <f t="shared" si="13"/>
        <v>4575219454.4672146</v>
      </c>
    </row>
    <row r="123" spans="2:14" x14ac:dyDescent="0.25">
      <c r="B123" s="130">
        <f t="shared" si="14"/>
        <v>64</v>
      </c>
      <c r="C123" s="145" t="str">
        <f t="shared" si="15"/>
        <v>Oct 2016</v>
      </c>
      <c r="D123" s="192">
        <f>'Trans Plant-Rsrve Act'!D33</f>
        <v>18645190.619999997</v>
      </c>
      <c r="E123" s="192">
        <f>'Trans Plant-Rsrve Act'!E33</f>
        <v>94854394.060000017</v>
      </c>
      <c r="F123" s="192">
        <f>'Trans Plant-Rsrve Act'!F33</f>
        <v>255781321.11285633</v>
      </c>
      <c r="G123" s="192">
        <f>'Trans Plant-Rsrve Act'!G33</f>
        <v>1105663404.3847435</v>
      </c>
      <c r="H123" s="192">
        <f>'Trans Plant-Rsrve Act'!H33</f>
        <v>1742320494.001826</v>
      </c>
      <c r="I123" s="192">
        <f>'Trans Plant-Rsrve Act'!I33</f>
        <v>150732786.49000004</v>
      </c>
      <c r="J123" s="192">
        <f>'Trans Plant-Rsrve Act'!J33</f>
        <v>830951449.77719712</v>
      </c>
      <c r="K123" s="192">
        <f>'Trans Plant-Rsrve Act'!K33</f>
        <v>180670727.96000001</v>
      </c>
      <c r="L123" s="192">
        <f>'Trans Plant-Rsrve Act'!L33</f>
        <v>78262796.939999998</v>
      </c>
      <c r="M123" s="192">
        <f>'Trans Plant-Rsrve Act'!M33</f>
        <v>135859889.92059186</v>
      </c>
      <c r="N123" s="170">
        <f t="shared" si="13"/>
        <v>4593742455.2672157</v>
      </c>
    </row>
    <row r="124" spans="2:14" x14ac:dyDescent="0.25">
      <c r="B124" s="130">
        <f t="shared" si="14"/>
        <v>65</v>
      </c>
      <c r="C124" s="145" t="str">
        <f t="shared" si="15"/>
        <v>Nov 2016</v>
      </c>
      <c r="D124" s="192">
        <f>'Trans Plant-Rsrve Act'!D34</f>
        <v>18652664.369999997</v>
      </c>
      <c r="E124" s="192">
        <f>'Trans Plant-Rsrve Act'!E34</f>
        <v>94872988.770000011</v>
      </c>
      <c r="F124" s="192">
        <f>'Trans Plant-Rsrve Act'!F34</f>
        <v>255809266.37285632</v>
      </c>
      <c r="G124" s="192">
        <f>'Trans Plant-Rsrve Act'!G34</f>
        <v>1105764128.4147434</v>
      </c>
      <c r="H124" s="192">
        <f>'Trans Plant-Rsrve Act'!H34</f>
        <v>1742837305.781826</v>
      </c>
      <c r="I124" s="192">
        <f>'Trans Plant-Rsrve Act'!I34</f>
        <v>150762909.25000003</v>
      </c>
      <c r="J124" s="192">
        <f>'Trans Plant-Rsrve Act'!J34</f>
        <v>831712903.09719706</v>
      </c>
      <c r="K124" s="192">
        <f>'Trans Plant-Rsrve Act'!K34</f>
        <v>184137404.83000001</v>
      </c>
      <c r="L124" s="192">
        <f>'Trans Plant-Rsrve Act'!L34</f>
        <v>79474811.670000002</v>
      </c>
      <c r="M124" s="192">
        <f>'Trans Plant-Rsrve Act'!M34</f>
        <v>136069850.38059187</v>
      </c>
      <c r="N124" s="170">
        <f t="shared" si="13"/>
        <v>4600094232.9372158</v>
      </c>
    </row>
    <row r="125" spans="2:14" x14ac:dyDescent="0.25">
      <c r="B125" s="130">
        <f t="shared" si="14"/>
        <v>66</v>
      </c>
      <c r="C125" s="145" t="str">
        <f t="shared" si="15"/>
        <v>Dec 2016</v>
      </c>
      <c r="D125" s="192">
        <f>'Trans Plant-Rsrve Act'!D35</f>
        <v>18676990.549999997</v>
      </c>
      <c r="E125" s="192">
        <f>'Trans Plant-Rsrve Act'!E35</f>
        <v>94873059.930000007</v>
      </c>
      <c r="F125" s="192">
        <f>'Trans Plant-Rsrve Act'!F35</f>
        <v>264612612.76285636</v>
      </c>
      <c r="G125" s="192">
        <f>'Trans Plant-Rsrve Act'!G35</f>
        <v>1133695494.8447433</v>
      </c>
      <c r="H125" s="192">
        <f>'Trans Plant-Rsrve Act'!H35</f>
        <v>1757159286.4618263</v>
      </c>
      <c r="I125" s="192">
        <f>'Trans Plant-Rsrve Act'!I35</f>
        <v>151903902.76000002</v>
      </c>
      <c r="J125" s="192">
        <f>'Trans Plant-Rsrve Act'!J35</f>
        <v>815549135.04719698</v>
      </c>
      <c r="K125" s="192">
        <f>'Trans Plant-Rsrve Act'!K35</f>
        <v>185286762.54000002</v>
      </c>
      <c r="L125" s="192">
        <f>'Trans Plant-Rsrve Act'!L35</f>
        <v>79876648.5</v>
      </c>
      <c r="M125" s="192">
        <f>'Trans Plant-Rsrve Act'!M35</f>
        <v>138148965.33059186</v>
      </c>
      <c r="N125" s="170">
        <f t="shared" ref="N125" si="16">SUM(D125:M125)</f>
        <v>4639782858.7272158</v>
      </c>
    </row>
    <row r="126" spans="2:14" x14ac:dyDescent="0.25">
      <c r="B126" s="130"/>
      <c r="C126" s="136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</row>
    <row r="127" spans="2:14" x14ac:dyDescent="0.25">
      <c r="C127" s="167" t="s">
        <v>73</v>
      </c>
      <c r="D127" s="142"/>
      <c r="E127" s="142"/>
      <c r="F127" s="142"/>
      <c r="G127" s="142"/>
      <c r="H127" s="142"/>
    </row>
    <row r="128" spans="2:14" x14ac:dyDescent="0.25">
      <c r="C128" s="142"/>
      <c r="D128" s="142"/>
      <c r="E128" s="142"/>
      <c r="F128" s="142"/>
      <c r="G128" s="142"/>
      <c r="H128" s="142"/>
    </row>
    <row r="129" spans="2:14" x14ac:dyDescent="0.25">
      <c r="B129" s="9"/>
      <c r="C129" s="168" t="s">
        <v>5</v>
      </c>
      <c r="D129" s="168" t="s">
        <v>6</v>
      </c>
      <c r="E129" s="168" t="s">
        <v>7</v>
      </c>
      <c r="F129" s="168" t="s">
        <v>8</v>
      </c>
      <c r="G129" s="168" t="s">
        <v>9</v>
      </c>
      <c r="H129" s="168" t="s">
        <v>10</v>
      </c>
      <c r="I129" s="124" t="s">
        <v>11</v>
      </c>
      <c r="J129" s="124" t="s">
        <v>12</v>
      </c>
      <c r="K129" s="124" t="s">
        <v>13</v>
      </c>
      <c r="L129" s="124" t="s">
        <v>14</v>
      </c>
      <c r="M129" s="124" t="s">
        <v>15</v>
      </c>
      <c r="N129" s="124" t="s">
        <v>16</v>
      </c>
    </row>
    <row r="130" spans="2:14" x14ac:dyDescent="0.25">
      <c r="B130" s="118"/>
      <c r="C130" s="169"/>
      <c r="D130" s="141"/>
      <c r="E130" s="141"/>
      <c r="F130" s="141"/>
      <c r="G130" s="141"/>
      <c r="H130" s="141"/>
      <c r="I130" s="118"/>
      <c r="J130" s="118"/>
      <c r="K130" s="118"/>
      <c r="L130" s="118"/>
      <c r="N130" s="126" t="s">
        <v>17</v>
      </c>
    </row>
    <row r="131" spans="2:14" x14ac:dyDescent="0.25">
      <c r="B131" s="128"/>
      <c r="C131" s="127" t="s">
        <v>19</v>
      </c>
      <c r="D131" s="174">
        <v>350.1</v>
      </c>
      <c r="E131" s="174">
        <v>350.2</v>
      </c>
      <c r="F131" s="174">
        <v>352</v>
      </c>
      <c r="G131" s="174">
        <v>353</v>
      </c>
      <c r="H131" s="174">
        <v>354</v>
      </c>
      <c r="I131" s="129">
        <v>355</v>
      </c>
      <c r="J131" s="129">
        <v>356</v>
      </c>
      <c r="K131" s="129">
        <v>357</v>
      </c>
      <c r="L131" s="129">
        <v>358</v>
      </c>
      <c r="M131" s="129">
        <v>359</v>
      </c>
      <c r="N131" s="130" t="s">
        <v>20</v>
      </c>
    </row>
    <row r="132" spans="2:14" x14ac:dyDescent="0.25">
      <c r="B132" s="130">
        <f>B125+1</f>
        <v>67</v>
      </c>
      <c r="C132" s="145" t="str">
        <f>C114</f>
        <v>Jan 2016</v>
      </c>
      <c r="D132" s="171">
        <f t="shared" ref="D132:D143" si="17">D114-D113</f>
        <v>0</v>
      </c>
      <c r="E132" s="171">
        <f t="shared" ref="E132:M132" si="18">E114-E113</f>
        <v>0</v>
      </c>
      <c r="F132" s="171">
        <f t="shared" si="18"/>
        <v>101879.66000002623</v>
      </c>
      <c r="G132" s="171">
        <f t="shared" si="18"/>
        <v>-9348.8200001716614</v>
      </c>
      <c r="H132" s="171">
        <f t="shared" si="18"/>
        <v>1209249.6600003242</v>
      </c>
      <c r="I132" s="171">
        <f t="shared" si="18"/>
        <v>1072936.4599999785</v>
      </c>
      <c r="J132" s="171">
        <f t="shared" si="18"/>
        <v>-603133.27999997139</v>
      </c>
      <c r="K132" s="171">
        <f t="shared" si="18"/>
        <v>0</v>
      </c>
      <c r="L132" s="171">
        <f t="shared" si="18"/>
        <v>0</v>
      </c>
      <c r="M132" s="171">
        <f t="shared" si="18"/>
        <v>274784.51999998093</v>
      </c>
      <c r="N132" s="171">
        <f>SUM(D132:M132)</f>
        <v>2046368.2000001669</v>
      </c>
    </row>
    <row r="133" spans="2:14" x14ac:dyDescent="0.25">
      <c r="B133" s="130">
        <f t="shared" ref="B133:B144" si="19">B132+1</f>
        <v>68</v>
      </c>
      <c r="C133" s="145" t="str">
        <f t="shared" ref="C133:C143" si="20">C115</f>
        <v>Feb 2016</v>
      </c>
      <c r="D133" s="171">
        <f t="shared" si="17"/>
        <v>0</v>
      </c>
      <c r="E133" s="171">
        <f t="shared" ref="E133:M143" si="21">E115-E114</f>
        <v>0</v>
      </c>
      <c r="F133" s="171">
        <f t="shared" si="21"/>
        <v>-8631504.6099999845</v>
      </c>
      <c r="G133" s="171">
        <f t="shared" si="21"/>
        <v>16522095.819999933</v>
      </c>
      <c r="H133" s="171">
        <f t="shared" si="21"/>
        <v>2191990.9199998379</v>
      </c>
      <c r="I133" s="171">
        <f t="shared" si="21"/>
        <v>329243.53999999166</v>
      </c>
      <c r="J133" s="171">
        <f t="shared" si="21"/>
        <v>852598.08000004292</v>
      </c>
      <c r="K133" s="171">
        <f t="shared" si="21"/>
        <v>0</v>
      </c>
      <c r="L133" s="171">
        <f t="shared" si="21"/>
        <v>0</v>
      </c>
      <c r="M133" s="171">
        <f t="shared" si="21"/>
        <v>299243.61000001431</v>
      </c>
      <c r="N133" s="171">
        <f t="shared" ref="N133:N143" si="22">SUM(D133:M133)</f>
        <v>11563667.359999835</v>
      </c>
    </row>
    <row r="134" spans="2:14" x14ac:dyDescent="0.25">
      <c r="B134" s="130">
        <f t="shared" si="19"/>
        <v>69</v>
      </c>
      <c r="C134" s="145" t="str">
        <f t="shared" si="20"/>
        <v>Mar 2016</v>
      </c>
      <c r="D134" s="171">
        <f t="shared" si="17"/>
        <v>9932171.3600000031</v>
      </c>
      <c r="E134" s="171">
        <f t="shared" si="21"/>
        <v>0</v>
      </c>
      <c r="F134" s="171">
        <f t="shared" si="21"/>
        <v>2079.6799999773502</v>
      </c>
      <c r="G134" s="171">
        <f t="shared" si="21"/>
        <v>60898.080000162125</v>
      </c>
      <c r="H134" s="171">
        <f t="shared" si="21"/>
        <v>555488.18000006676</v>
      </c>
      <c r="I134" s="171">
        <f t="shared" si="21"/>
        <v>155257.68000000715</v>
      </c>
      <c r="J134" s="171">
        <f t="shared" si="21"/>
        <v>318974.96000003815</v>
      </c>
      <c r="K134" s="171">
        <f t="shared" si="21"/>
        <v>0</v>
      </c>
      <c r="L134" s="171">
        <f t="shared" si="21"/>
        <v>0</v>
      </c>
      <c r="M134" s="171">
        <f t="shared" si="21"/>
        <v>174957.65999999642</v>
      </c>
      <c r="N134" s="171">
        <f t="shared" si="22"/>
        <v>11199827.600000251</v>
      </c>
    </row>
    <row r="135" spans="2:14" x14ac:dyDescent="0.25">
      <c r="B135" s="130">
        <f t="shared" si="19"/>
        <v>70</v>
      </c>
      <c r="C135" s="145" t="str">
        <f t="shared" si="20"/>
        <v>Apr 2016</v>
      </c>
      <c r="D135" s="171">
        <f t="shared" si="17"/>
        <v>11156.269999999553</v>
      </c>
      <c r="E135" s="171">
        <f t="shared" si="21"/>
        <v>40959.689999997616</v>
      </c>
      <c r="F135" s="171">
        <f t="shared" si="21"/>
        <v>-2030729.1699999869</v>
      </c>
      <c r="G135" s="171">
        <f t="shared" si="21"/>
        <v>2463489.370000124</v>
      </c>
      <c r="H135" s="171">
        <f t="shared" si="21"/>
        <v>1787068.0799999237</v>
      </c>
      <c r="I135" s="171">
        <f t="shared" si="21"/>
        <v>227929.77000001073</v>
      </c>
      <c r="J135" s="171">
        <f t="shared" si="21"/>
        <v>578610.2199999094</v>
      </c>
      <c r="K135" s="171">
        <f t="shared" si="21"/>
        <v>0</v>
      </c>
      <c r="L135" s="171">
        <f t="shared" si="21"/>
        <v>1693867.92</v>
      </c>
      <c r="M135" s="171">
        <f t="shared" si="21"/>
        <v>279665.31000000238</v>
      </c>
      <c r="N135" s="171">
        <f t="shared" si="22"/>
        <v>5052017.4599999804</v>
      </c>
    </row>
    <row r="136" spans="2:14" x14ac:dyDescent="0.25">
      <c r="B136" s="130">
        <f t="shared" si="19"/>
        <v>71</v>
      </c>
      <c r="C136" s="145" t="str">
        <f t="shared" si="20"/>
        <v>May 2016</v>
      </c>
      <c r="D136" s="171">
        <f t="shared" si="17"/>
        <v>7351.7399999983609</v>
      </c>
      <c r="E136" s="171">
        <f t="shared" si="21"/>
        <v>457</v>
      </c>
      <c r="F136" s="171">
        <f t="shared" si="21"/>
        <v>-54581.859999984503</v>
      </c>
      <c r="G136" s="171">
        <f t="shared" si="21"/>
        <v>-161954.1400001049</v>
      </c>
      <c r="H136" s="171">
        <f t="shared" si="21"/>
        <v>924608.14999985695</v>
      </c>
      <c r="I136" s="171">
        <f t="shared" si="21"/>
        <v>111053.82999998331</v>
      </c>
      <c r="J136" s="171">
        <f t="shared" si="21"/>
        <v>215647.45000004768</v>
      </c>
      <c r="K136" s="171">
        <f t="shared" si="21"/>
        <v>0</v>
      </c>
      <c r="L136" s="171">
        <f t="shared" si="21"/>
        <v>344049.8599999994</v>
      </c>
      <c r="M136" s="171">
        <f t="shared" si="21"/>
        <v>154736.26999998093</v>
      </c>
      <c r="N136" s="171">
        <f t="shared" si="22"/>
        <v>1541368.2999997772</v>
      </c>
    </row>
    <row r="137" spans="2:14" x14ac:dyDescent="0.25">
      <c r="B137" s="130">
        <f t="shared" si="19"/>
        <v>72</v>
      </c>
      <c r="C137" s="145" t="str">
        <f t="shared" si="20"/>
        <v>Jun 2016</v>
      </c>
      <c r="D137" s="171">
        <f t="shared" si="17"/>
        <v>-523033.27000000328</v>
      </c>
      <c r="E137" s="171">
        <f t="shared" si="21"/>
        <v>530820.59000000358</v>
      </c>
      <c r="F137" s="171">
        <f t="shared" si="21"/>
        <v>71058.27999997139</v>
      </c>
      <c r="G137" s="171">
        <f t="shared" si="21"/>
        <v>-105463.02999997139</v>
      </c>
      <c r="H137" s="171">
        <f t="shared" si="21"/>
        <v>2433751.0799999237</v>
      </c>
      <c r="I137" s="171">
        <f t="shared" si="21"/>
        <v>-448179.23999997973</v>
      </c>
      <c r="J137" s="171">
        <f t="shared" si="21"/>
        <v>517712.43999993801</v>
      </c>
      <c r="K137" s="171">
        <f t="shared" si="21"/>
        <v>0</v>
      </c>
      <c r="L137" s="171">
        <f t="shared" si="21"/>
        <v>1298.589999999851</v>
      </c>
      <c r="M137" s="171">
        <f t="shared" si="21"/>
        <v>368778.81000000238</v>
      </c>
      <c r="N137" s="171">
        <f t="shared" si="22"/>
        <v>2846744.2499998845</v>
      </c>
    </row>
    <row r="138" spans="2:14" x14ac:dyDescent="0.25">
      <c r="B138" s="130">
        <f t="shared" si="19"/>
        <v>73</v>
      </c>
      <c r="C138" s="145" t="str">
        <f t="shared" si="20"/>
        <v>Jul 2016</v>
      </c>
      <c r="D138" s="171">
        <f t="shared" si="17"/>
        <v>9500.0799999982119</v>
      </c>
      <c r="E138" s="171">
        <f t="shared" si="21"/>
        <v>3532.4200000017881</v>
      </c>
      <c r="F138" s="171">
        <f t="shared" si="21"/>
        <v>4831.2400000095367</v>
      </c>
      <c r="G138" s="171">
        <f t="shared" si="21"/>
        <v>41519.97000002861</v>
      </c>
      <c r="H138" s="171">
        <f t="shared" si="21"/>
        <v>498325.20000004768</v>
      </c>
      <c r="I138" s="171">
        <f t="shared" si="21"/>
        <v>95817.689999967813</v>
      </c>
      <c r="J138" s="171">
        <f t="shared" si="21"/>
        <v>290531.61000001431</v>
      </c>
      <c r="K138" s="171">
        <f t="shared" si="21"/>
        <v>0</v>
      </c>
      <c r="L138" s="171">
        <f t="shared" si="21"/>
        <v>593.5</v>
      </c>
      <c r="M138" s="171">
        <f t="shared" si="21"/>
        <v>169985.94000002742</v>
      </c>
      <c r="N138" s="171">
        <f t="shared" si="22"/>
        <v>1114637.6500000954</v>
      </c>
    </row>
    <row r="139" spans="2:14" x14ac:dyDescent="0.25">
      <c r="B139" s="130">
        <f t="shared" si="19"/>
        <v>74</v>
      </c>
      <c r="C139" s="145" t="str">
        <f t="shared" si="20"/>
        <v>Aug 2016</v>
      </c>
      <c r="D139" s="171">
        <f t="shared" si="17"/>
        <v>-1270.609999999404</v>
      </c>
      <c r="E139" s="171">
        <f t="shared" si="21"/>
        <v>1656.4699999988079</v>
      </c>
      <c r="F139" s="171">
        <f t="shared" si="21"/>
        <v>253564.61000001431</v>
      </c>
      <c r="G139" s="171">
        <f t="shared" si="21"/>
        <v>-172263.66000008583</v>
      </c>
      <c r="H139" s="171">
        <f t="shared" si="21"/>
        <v>19190528.359999895</v>
      </c>
      <c r="I139" s="171">
        <f t="shared" si="21"/>
        <v>-178069.62999999523</v>
      </c>
      <c r="J139" s="171">
        <f t="shared" si="21"/>
        <v>-5946067.2300000191</v>
      </c>
      <c r="K139" s="171">
        <f t="shared" si="21"/>
        <v>0</v>
      </c>
      <c r="L139" s="171">
        <f t="shared" si="21"/>
        <v>-845.97000000067055</v>
      </c>
      <c r="M139" s="171">
        <f t="shared" si="21"/>
        <v>-13988911.200000018</v>
      </c>
      <c r="N139" s="171">
        <f t="shared" si="22"/>
        <v>-841678.86000020988</v>
      </c>
    </row>
    <row r="140" spans="2:14" x14ac:dyDescent="0.25">
      <c r="B140" s="130">
        <f t="shared" si="19"/>
        <v>75</v>
      </c>
      <c r="C140" s="145" t="str">
        <f t="shared" si="20"/>
        <v>Sep 2016</v>
      </c>
      <c r="D140" s="171">
        <f t="shared" si="17"/>
        <v>15308.730000000447</v>
      </c>
      <c r="E140" s="171">
        <f t="shared" si="21"/>
        <v>-18.099999994039536</v>
      </c>
      <c r="F140" s="171">
        <f t="shared" si="21"/>
        <v>1282268.7299999595</v>
      </c>
      <c r="G140" s="171">
        <f t="shared" si="21"/>
        <v>62015.509999990463</v>
      </c>
      <c r="H140" s="171">
        <f t="shared" si="21"/>
        <v>723525.48000001907</v>
      </c>
      <c r="I140" s="171">
        <f t="shared" si="21"/>
        <v>-60735.379999965429</v>
      </c>
      <c r="J140" s="171">
        <f t="shared" si="21"/>
        <v>1508425.7999999523</v>
      </c>
      <c r="K140" s="171">
        <f t="shared" si="21"/>
        <v>178296084.22</v>
      </c>
      <c r="L140" s="171">
        <f t="shared" si="21"/>
        <v>62336395.739999995</v>
      </c>
      <c r="M140" s="171">
        <f t="shared" si="21"/>
        <v>-22925.280000001192</v>
      </c>
      <c r="N140" s="171">
        <f t="shared" si="22"/>
        <v>244140345.44999996</v>
      </c>
    </row>
    <row r="141" spans="2:14" x14ac:dyDescent="0.25">
      <c r="B141" s="130">
        <f t="shared" si="19"/>
        <v>76</v>
      </c>
      <c r="C141" s="145" t="str">
        <f t="shared" si="20"/>
        <v>Oct 2016</v>
      </c>
      <c r="D141" s="171">
        <f t="shared" si="17"/>
        <v>-800.62000000104308</v>
      </c>
      <c r="E141" s="171">
        <f t="shared" si="21"/>
        <v>16332.5</v>
      </c>
      <c r="F141" s="171">
        <f t="shared" si="21"/>
        <v>20240.960000038147</v>
      </c>
      <c r="G141" s="171">
        <f t="shared" si="21"/>
        <v>-1193770.6699998379</v>
      </c>
      <c r="H141" s="171">
        <f t="shared" si="21"/>
        <v>7598894.9200000763</v>
      </c>
      <c r="I141" s="171">
        <f t="shared" si="21"/>
        <v>181307.43000000715</v>
      </c>
      <c r="J141" s="171">
        <f t="shared" si="21"/>
        <v>5980517.7900000811</v>
      </c>
      <c r="K141" s="171">
        <f t="shared" si="21"/>
        <v>2374643.7400000095</v>
      </c>
      <c r="L141" s="171">
        <f t="shared" si="21"/>
        <v>2869950.5600000024</v>
      </c>
      <c r="M141" s="171">
        <f t="shared" si="21"/>
        <v>675684.18999999762</v>
      </c>
      <c r="N141" s="171">
        <f t="shared" si="22"/>
        <v>18523000.800000373</v>
      </c>
    </row>
    <row r="142" spans="2:14" x14ac:dyDescent="0.25">
      <c r="B142" s="130">
        <f t="shared" si="19"/>
        <v>77</v>
      </c>
      <c r="C142" s="145" t="str">
        <f t="shared" si="20"/>
        <v>Nov 2016</v>
      </c>
      <c r="D142" s="171">
        <f t="shared" si="17"/>
        <v>7473.75</v>
      </c>
      <c r="E142" s="171">
        <f t="shared" si="21"/>
        <v>18594.709999993443</v>
      </c>
      <c r="F142" s="171">
        <f t="shared" si="21"/>
        <v>27945.259999990463</v>
      </c>
      <c r="G142" s="171">
        <f t="shared" si="21"/>
        <v>100724.02999997139</v>
      </c>
      <c r="H142" s="171">
        <f t="shared" si="21"/>
        <v>516811.77999997139</v>
      </c>
      <c r="I142" s="171">
        <f t="shared" si="21"/>
        <v>30122.759999990463</v>
      </c>
      <c r="J142" s="171">
        <f t="shared" si="21"/>
        <v>761453.31999993324</v>
      </c>
      <c r="K142" s="171">
        <f t="shared" si="21"/>
        <v>3466676.8700000048</v>
      </c>
      <c r="L142" s="171">
        <f t="shared" si="21"/>
        <v>1212014.7300000042</v>
      </c>
      <c r="M142" s="171">
        <f t="shared" si="21"/>
        <v>209960.46000000834</v>
      </c>
      <c r="N142" s="171">
        <f t="shared" si="22"/>
        <v>6351777.6699998677</v>
      </c>
    </row>
    <row r="143" spans="2:14" x14ac:dyDescent="0.25">
      <c r="B143" s="130">
        <f t="shared" si="19"/>
        <v>78</v>
      </c>
      <c r="C143" s="145" t="str">
        <f t="shared" si="20"/>
        <v>Dec 2016</v>
      </c>
      <c r="D143" s="171">
        <f t="shared" si="17"/>
        <v>24326.179999999702</v>
      </c>
      <c r="E143" s="171">
        <f t="shared" si="21"/>
        <v>71.159999996423721</v>
      </c>
      <c r="F143" s="171">
        <f t="shared" si="21"/>
        <v>8803346.3900000453</v>
      </c>
      <c r="G143" s="171">
        <f t="shared" si="21"/>
        <v>27931366.429999828</v>
      </c>
      <c r="H143" s="171">
        <f t="shared" si="21"/>
        <v>14321980.680000305</v>
      </c>
      <c r="I143" s="171">
        <f t="shared" si="21"/>
        <v>1140993.5099999905</v>
      </c>
      <c r="J143" s="171">
        <f t="shared" si="21"/>
        <v>-16163768.050000072</v>
      </c>
      <c r="K143" s="171">
        <f t="shared" si="21"/>
        <v>1149357.7100000083</v>
      </c>
      <c r="L143" s="171">
        <f t="shared" si="21"/>
        <v>401836.82999999821</v>
      </c>
      <c r="M143" s="171">
        <f t="shared" si="21"/>
        <v>2079114.9499999881</v>
      </c>
      <c r="N143" s="171">
        <f t="shared" si="22"/>
        <v>39688625.790000089</v>
      </c>
    </row>
    <row r="144" spans="2:14" x14ac:dyDescent="0.25">
      <c r="B144" s="130">
        <f t="shared" si="19"/>
        <v>79</v>
      </c>
      <c r="C144" s="136" t="s">
        <v>71</v>
      </c>
      <c r="D144" s="193">
        <f>SUM(D132:D143)</f>
        <v>9482183.6099999957</v>
      </c>
      <c r="E144" s="193">
        <f t="shared" ref="E144:N144" si="23">SUM(E132:E143)</f>
        <v>612406.43999999762</v>
      </c>
      <c r="F144" s="193">
        <f t="shared" si="23"/>
        <v>-149600.82999992371</v>
      </c>
      <c r="G144" s="193">
        <f t="shared" si="23"/>
        <v>45539308.889999866</v>
      </c>
      <c r="H144" s="193">
        <f t="shared" si="23"/>
        <v>51952222.490000248</v>
      </c>
      <c r="I144" s="193">
        <f t="shared" si="23"/>
        <v>2657678.4199999869</v>
      </c>
      <c r="J144" s="193">
        <f t="shared" si="23"/>
        <v>-11688496.890000105</v>
      </c>
      <c r="K144" s="193">
        <f t="shared" si="23"/>
        <v>185286762.54000002</v>
      </c>
      <c r="L144" s="193">
        <f t="shared" si="23"/>
        <v>68859161.75999999</v>
      </c>
      <c r="M144" s="193">
        <f t="shared" si="23"/>
        <v>-9324924.7600000203</v>
      </c>
      <c r="N144" s="193">
        <f t="shared" si="23"/>
        <v>343226701.67000008</v>
      </c>
    </row>
    <row r="145" spans="2:14" x14ac:dyDescent="0.25">
      <c r="B145" s="130"/>
      <c r="C145" s="136"/>
      <c r="D145" s="170"/>
      <c r="E145" s="170"/>
      <c r="F145" s="170"/>
      <c r="G145" s="170"/>
      <c r="H145" s="170"/>
      <c r="I145" s="170"/>
      <c r="J145" s="170"/>
      <c r="K145" s="170"/>
      <c r="L145" s="170"/>
      <c r="M145" s="170"/>
      <c r="N145" s="170"/>
    </row>
    <row r="146" spans="2:14" x14ac:dyDescent="0.25">
      <c r="C146" s="172" t="s">
        <v>74</v>
      </c>
      <c r="D146" s="142"/>
      <c r="E146" s="142"/>
      <c r="F146" s="142"/>
      <c r="G146" s="142"/>
      <c r="H146" s="142"/>
    </row>
    <row r="147" spans="2:14" x14ac:dyDescent="0.25">
      <c r="C147" s="142"/>
      <c r="D147" s="142"/>
      <c r="E147" s="142"/>
      <c r="F147" s="142"/>
      <c r="G147" s="142"/>
      <c r="H147" s="142"/>
    </row>
    <row r="148" spans="2:14" x14ac:dyDescent="0.25">
      <c r="B148" s="9"/>
      <c r="C148" s="168" t="s">
        <v>5</v>
      </c>
      <c r="D148" s="168" t="s">
        <v>6</v>
      </c>
      <c r="E148" s="168" t="s">
        <v>7</v>
      </c>
      <c r="F148" s="168" t="s">
        <v>8</v>
      </c>
      <c r="G148" s="168" t="s">
        <v>9</v>
      </c>
      <c r="H148" s="168" t="s">
        <v>10</v>
      </c>
      <c r="I148" s="124" t="s">
        <v>11</v>
      </c>
      <c r="J148" s="124" t="s">
        <v>12</v>
      </c>
      <c r="K148" s="124" t="s">
        <v>13</v>
      </c>
      <c r="L148" s="124" t="s">
        <v>14</v>
      </c>
      <c r="M148" s="124" t="s">
        <v>15</v>
      </c>
      <c r="N148" s="124" t="s">
        <v>16</v>
      </c>
    </row>
    <row r="149" spans="2:14" x14ac:dyDescent="0.25">
      <c r="B149" s="118"/>
      <c r="C149" s="169"/>
      <c r="D149" s="141"/>
      <c r="E149" s="141"/>
      <c r="F149" s="141"/>
      <c r="G149" s="141"/>
      <c r="H149" s="141"/>
      <c r="I149" s="118"/>
      <c r="J149" s="118"/>
      <c r="K149" s="118"/>
      <c r="L149" s="118"/>
      <c r="N149" s="126" t="s">
        <v>17</v>
      </c>
    </row>
    <row r="150" spans="2:14" x14ac:dyDescent="0.25">
      <c r="B150" s="128"/>
      <c r="C150" s="127" t="s">
        <v>19</v>
      </c>
      <c r="D150" s="174">
        <v>350.1</v>
      </c>
      <c r="E150" s="174">
        <v>350.2</v>
      </c>
      <c r="F150" s="174">
        <v>352</v>
      </c>
      <c r="G150" s="174">
        <v>353</v>
      </c>
      <c r="H150" s="174">
        <v>354</v>
      </c>
      <c r="I150" s="129">
        <v>355</v>
      </c>
      <c r="J150" s="129">
        <v>356</v>
      </c>
      <c r="K150" s="129">
        <v>357</v>
      </c>
      <c r="L150" s="129">
        <v>358</v>
      </c>
      <c r="M150" s="129">
        <v>359</v>
      </c>
      <c r="N150" s="130" t="s">
        <v>20</v>
      </c>
    </row>
    <row r="151" spans="2:14" x14ac:dyDescent="0.25">
      <c r="B151" s="130">
        <f>B144+1</f>
        <v>80</v>
      </c>
      <c r="C151" s="145" t="str">
        <f>C132</f>
        <v>Jan 2016</v>
      </c>
      <c r="D151" s="173">
        <f>D94-D132</f>
        <v>-1616115.0899999887</v>
      </c>
      <c r="E151" s="173">
        <f t="shared" ref="E151:M162" si="24">E94-E132</f>
        <v>21088.909999996424</v>
      </c>
      <c r="F151" s="173">
        <f t="shared" si="24"/>
        <v>16407228.859999955</v>
      </c>
      <c r="G151" s="173">
        <f t="shared" si="24"/>
        <v>13631723.360001087</v>
      </c>
      <c r="H151" s="173">
        <f t="shared" si="24"/>
        <v>5896066.9899997711</v>
      </c>
      <c r="I151" s="173">
        <f t="shared" si="24"/>
        <v>9633799.5299999118</v>
      </c>
      <c r="J151" s="173">
        <f t="shared" si="24"/>
        <v>9419455.8500001431</v>
      </c>
      <c r="K151" s="173">
        <f t="shared" si="24"/>
        <v>938442.97000000626</v>
      </c>
      <c r="L151" s="173">
        <f t="shared" si="24"/>
        <v>1701955.1899999976</v>
      </c>
      <c r="M151" s="173">
        <f t="shared" si="24"/>
        <v>-43936.519999980927</v>
      </c>
      <c r="N151" s="173">
        <f>SUM(D151:M151)</f>
        <v>55989710.050000899</v>
      </c>
    </row>
    <row r="152" spans="2:14" x14ac:dyDescent="0.25">
      <c r="B152" s="130">
        <f t="shared" ref="B152:B163" si="25">B151+1</f>
        <v>81</v>
      </c>
      <c r="C152" s="145" t="str">
        <f t="shared" ref="C152:C162" si="26">C133</f>
        <v>Feb 2016</v>
      </c>
      <c r="D152" s="173">
        <f t="shared" ref="D152:D162" si="27">D95-D133</f>
        <v>-1085.8700000047684</v>
      </c>
      <c r="E152" s="173">
        <f t="shared" si="24"/>
        <v>-4135.8000000119209</v>
      </c>
      <c r="F152" s="173">
        <f t="shared" si="24"/>
        <v>2499652.5600000322</v>
      </c>
      <c r="G152" s="173">
        <f t="shared" si="24"/>
        <v>6727759.7799994946</v>
      </c>
      <c r="H152" s="173">
        <f t="shared" si="24"/>
        <v>11130.500000238419</v>
      </c>
      <c r="I152" s="173">
        <f t="shared" si="24"/>
        <v>10541694.970000118</v>
      </c>
      <c r="J152" s="173">
        <f t="shared" si="24"/>
        <v>234002.73999989033</v>
      </c>
      <c r="K152" s="173">
        <f t="shared" si="24"/>
        <v>-24970.270000003278</v>
      </c>
      <c r="L152" s="173">
        <f t="shared" si="24"/>
        <v>103305.32000005245</v>
      </c>
      <c r="M152" s="173">
        <f t="shared" si="24"/>
        <v>5504.2499999701977</v>
      </c>
      <c r="N152" s="173">
        <f t="shared" ref="N152:N162" si="28">SUM(D152:M152)</f>
        <v>20092858.179999776</v>
      </c>
    </row>
    <row r="153" spans="2:14" x14ac:dyDescent="0.25">
      <c r="B153" s="130">
        <f t="shared" si="25"/>
        <v>82</v>
      </c>
      <c r="C153" s="145" t="str">
        <f t="shared" si="26"/>
        <v>Mar 2016</v>
      </c>
      <c r="D153" s="173">
        <f t="shared" si="27"/>
        <v>1826.2099999897182</v>
      </c>
      <c r="E153" s="173">
        <f t="shared" si="24"/>
        <v>82797.480000019073</v>
      </c>
      <c r="F153" s="173">
        <f t="shared" si="24"/>
        <v>14030106.849999875</v>
      </c>
      <c r="G153" s="173">
        <f t="shared" si="24"/>
        <v>30133327.779998541</v>
      </c>
      <c r="H153" s="173">
        <f t="shared" si="24"/>
        <v>701840.17000031471</v>
      </c>
      <c r="I153" s="173">
        <f t="shared" si="24"/>
        <v>24995605.019999921</v>
      </c>
      <c r="J153" s="173">
        <f t="shared" si="24"/>
        <v>9611158.5199997425</v>
      </c>
      <c r="K153" s="173">
        <f t="shared" si="24"/>
        <v>27210.070000000298</v>
      </c>
      <c r="L153" s="173">
        <f t="shared" si="24"/>
        <v>1421894.9099999666</v>
      </c>
      <c r="M153" s="173">
        <f t="shared" si="24"/>
        <v>8819257.7700000107</v>
      </c>
      <c r="N153" s="173">
        <f t="shared" si="28"/>
        <v>89825024.779998392</v>
      </c>
    </row>
    <row r="154" spans="2:14" x14ac:dyDescent="0.25">
      <c r="B154" s="130">
        <f t="shared" si="25"/>
        <v>83</v>
      </c>
      <c r="C154" s="145" t="str">
        <f t="shared" si="26"/>
        <v>Apr 2016</v>
      </c>
      <c r="D154" s="173">
        <f t="shared" si="27"/>
        <v>-1002.0099999941885</v>
      </c>
      <c r="E154" s="173">
        <f t="shared" si="24"/>
        <v>5002.2300000190735</v>
      </c>
      <c r="F154" s="173">
        <f t="shared" si="24"/>
        <v>38592232.039999992</v>
      </c>
      <c r="G154" s="173">
        <f t="shared" si="24"/>
        <v>17474341.180000067</v>
      </c>
      <c r="H154" s="173">
        <f t="shared" si="24"/>
        <v>-1263837.5600004196</v>
      </c>
      <c r="I154" s="173">
        <f t="shared" si="24"/>
        <v>12995693.050000042</v>
      </c>
      <c r="J154" s="173">
        <f t="shared" si="24"/>
        <v>-235405.95999991894</v>
      </c>
      <c r="K154" s="173">
        <f t="shared" si="24"/>
        <v>2327052.7299999967</v>
      </c>
      <c r="L154" s="173">
        <f t="shared" si="24"/>
        <v>8269771.5400000382</v>
      </c>
      <c r="M154" s="173">
        <f t="shared" si="24"/>
        <v>419843.21999999881</v>
      </c>
      <c r="N154" s="173">
        <f t="shared" si="28"/>
        <v>78583690.459999815</v>
      </c>
    </row>
    <row r="155" spans="2:14" x14ac:dyDescent="0.25">
      <c r="B155" s="130">
        <f t="shared" si="25"/>
        <v>84</v>
      </c>
      <c r="C155" s="145" t="str">
        <f t="shared" si="26"/>
        <v>May 2016</v>
      </c>
      <c r="D155" s="173">
        <f t="shared" si="27"/>
        <v>1000.8899999968708</v>
      </c>
      <c r="E155" s="173">
        <f t="shared" si="24"/>
        <v>8500.7999999821186</v>
      </c>
      <c r="F155" s="173">
        <f t="shared" si="24"/>
        <v>1171485.0699997842</v>
      </c>
      <c r="G155" s="173">
        <f t="shared" si="24"/>
        <v>2417027.9700009823</v>
      </c>
      <c r="H155" s="173">
        <f t="shared" si="24"/>
        <v>2763272.3599998951</v>
      </c>
      <c r="I155" s="173">
        <f t="shared" si="24"/>
        <v>8549428.3699999452</v>
      </c>
      <c r="J155" s="173">
        <f t="shared" si="24"/>
        <v>476623.97999978065</v>
      </c>
      <c r="K155" s="173">
        <f t="shared" si="24"/>
        <v>240023.78000000119</v>
      </c>
      <c r="L155" s="173">
        <f t="shared" si="24"/>
        <v>1595073.9899999648</v>
      </c>
      <c r="M155" s="173">
        <f t="shared" si="24"/>
        <v>1010442.9600000083</v>
      </c>
      <c r="N155" s="173">
        <f t="shared" si="28"/>
        <v>18232880.170000341</v>
      </c>
    </row>
    <row r="156" spans="2:14" x14ac:dyDescent="0.25">
      <c r="B156" s="130">
        <f t="shared" si="25"/>
        <v>85</v>
      </c>
      <c r="C156" s="145" t="str">
        <f t="shared" si="26"/>
        <v>Jun 2016</v>
      </c>
      <c r="D156" s="173">
        <f t="shared" si="27"/>
        <v>1329.2200000062585</v>
      </c>
      <c r="E156" s="173">
        <f t="shared" si="24"/>
        <v>-936426.21000003815</v>
      </c>
      <c r="F156" s="173">
        <f t="shared" si="24"/>
        <v>9360355.990000248</v>
      </c>
      <c r="G156" s="173">
        <f t="shared" si="24"/>
        <v>50050529.629999399</v>
      </c>
      <c r="H156" s="173">
        <f t="shared" si="24"/>
        <v>-21683708.329999924</v>
      </c>
      <c r="I156" s="173">
        <f t="shared" si="24"/>
        <v>18354182.370000094</v>
      </c>
      <c r="J156" s="173">
        <f t="shared" si="24"/>
        <v>1648475.2600005865</v>
      </c>
      <c r="K156" s="173">
        <f t="shared" si="24"/>
        <v>3250928.5500000045</v>
      </c>
      <c r="L156" s="173">
        <f t="shared" si="24"/>
        <v>24252926.800000045</v>
      </c>
      <c r="M156" s="173">
        <f t="shared" si="24"/>
        <v>2941083.5499999821</v>
      </c>
      <c r="N156" s="173">
        <f t="shared" si="28"/>
        <v>87239676.830000401</v>
      </c>
    </row>
    <row r="157" spans="2:14" x14ac:dyDescent="0.25">
      <c r="B157" s="130">
        <f t="shared" si="25"/>
        <v>86</v>
      </c>
      <c r="C157" s="145" t="str">
        <f t="shared" si="26"/>
        <v>Jul 2016</v>
      </c>
      <c r="D157" s="173">
        <f t="shared" si="27"/>
        <v>-5715.8499999940395</v>
      </c>
      <c r="E157" s="173">
        <f t="shared" si="24"/>
        <v>4114.7900000363588</v>
      </c>
      <c r="F157" s="173">
        <f t="shared" si="24"/>
        <v>11802138.280000091</v>
      </c>
      <c r="G157" s="173">
        <f t="shared" si="24"/>
        <v>85427899.020000696</v>
      </c>
      <c r="H157" s="173">
        <f t="shared" si="24"/>
        <v>-619272.29999947548</v>
      </c>
      <c r="I157" s="173">
        <f t="shared" si="24"/>
        <v>7829383.2500000894</v>
      </c>
      <c r="J157" s="173">
        <f t="shared" si="24"/>
        <v>-798501.81000030041</v>
      </c>
      <c r="K157" s="173">
        <f t="shared" si="24"/>
        <v>608006.78000000119</v>
      </c>
      <c r="L157" s="173">
        <f t="shared" si="24"/>
        <v>994760.68999999762</v>
      </c>
      <c r="M157" s="173">
        <f t="shared" si="24"/>
        <v>353214.08000001311</v>
      </c>
      <c r="N157" s="173">
        <f t="shared" si="28"/>
        <v>105596026.93000115</v>
      </c>
    </row>
    <row r="158" spans="2:14" x14ac:dyDescent="0.25">
      <c r="B158" s="130">
        <f t="shared" si="25"/>
        <v>87</v>
      </c>
      <c r="C158" s="145" t="str">
        <f t="shared" si="26"/>
        <v>Aug 2016</v>
      </c>
      <c r="D158" s="173">
        <f t="shared" si="27"/>
        <v>-1794.609999999404</v>
      </c>
      <c r="E158" s="173">
        <f t="shared" si="24"/>
        <v>18177.789999991655</v>
      </c>
      <c r="F158" s="173">
        <f t="shared" si="24"/>
        <v>-1079458.3200001717</v>
      </c>
      <c r="G158" s="173">
        <f t="shared" si="24"/>
        <v>644993.20999932289</v>
      </c>
      <c r="H158" s="173">
        <f t="shared" si="24"/>
        <v>1327009.3900001049</v>
      </c>
      <c r="I158" s="173">
        <f t="shared" si="24"/>
        <v>10297788.320000052</v>
      </c>
      <c r="J158" s="173">
        <f t="shared" si="24"/>
        <v>421478.21999979019</v>
      </c>
      <c r="K158" s="173">
        <f t="shared" si="24"/>
        <v>662021.8900000006</v>
      </c>
      <c r="L158" s="173">
        <f t="shared" si="24"/>
        <v>-1128452.0400000494</v>
      </c>
      <c r="M158" s="173">
        <f t="shared" si="24"/>
        <v>-20766.559999972582</v>
      </c>
      <c r="N158" s="173">
        <f t="shared" si="28"/>
        <v>11140997.28999907</v>
      </c>
    </row>
    <row r="159" spans="2:14" x14ac:dyDescent="0.25">
      <c r="B159" s="130">
        <f t="shared" si="25"/>
        <v>88</v>
      </c>
      <c r="C159" s="145" t="str">
        <f t="shared" si="26"/>
        <v>Sep 2016</v>
      </c>
      <c r="D159" s="173">
        <f t="shared" si="27"/>
        <v>-1404.2200000099838</v>
      </c>
      <c r="E159" s="173">
        <f t="shared" si="24"/>
        <v>2729154.7100000083</v>
      </c>
      <c r="F159" s="173">
        <f t="shared" si="24"/>
        <v>901209.17000001669</v>
      </c>
      <c r="G159" s="173">
        <f t="shared" si="24"/>
        <v>5926401.4600002766</v>
      </c>
      <c r="H159" s="173">
        <f t="shared" si="24"/>
        <v>522499.34999990463</v>
      </c>
      <c r="I159" s="173">
        <f t="shared" si="24"/>
        <v>10565952.050000042</v>
      </c>
      <c r="J159" s="173">
        <f t="shared" si="24"/>
        <v>7614464.8600001335</v>
      </c>
      <c r="K159" s="173">
        <f t="shared" si="24"/>
        <v>843201.46999999881</v>
      </c>
      <c r="L159" s="173">
        <f t="shared" si="24"/>
        <v>424848.26000000536</v>
      </c>
      <c r="M159" s="173">
        <f t="shared" si="24"/>
        <v>9056.2299999594688</v>
      </c>
      <c r="N159" s="173">
        <f t="shared" si="28"/>
        <v>29535383.340000335</v>
      </c>
    </row>
    <row r="160" spans="2:14" x14ac:dyDescent="0.25">
      <c r="B160" s="130">
        <f t="shared" si="25"/>
        <v>89</v>
      </c>
      <c r="C160" s="145" t="str">
        <f t="shared" si="26"/>
        <v>Oct 2016</v>
      </c>
      <c r="D160" s="173">
        <f t="shared" si="27"/>
        <v>1.1175870895385742E-8</v>
      </c>
      <c r="E160" s="173">
        <f t="shared" si="24"/>
        <v>101939.21999996901</v>
      </c>
      <c r="F160" s="173">
        <f t="shared" si="24"/>
        <v>33870421.639999986</v>
      </c>
      <c r="G160" s="173">
        <f t="shared" si="24"/>
        <v>26049679.750000715</v>
      </c>
      <c r="H160" s="173">
        <f t="shared" si="24"/>
        <v>1300795.7899999619</v>
      </c>
      <c r="I160" s="173">
        <f t="shared" si="24"/>
        <v>9269648.7299998403</v>
      </c>
      <c r="J160" s="173">
        <f t="shared" si="24"/>
        <v>1554873.6200002432</v>
      </c>
      <c r="K160" s="173">
        <f t="shared" si="24"/>
        <v>-6167403.9600000083</v>
      </c>
      <c r="L160" s="173">
        <f t="shared" si="24"/>
        <v>-778271.28999996185</v>
      </c>
      <c r="M160" s="173">
        <f t="shared" si="24"/>
        <v>-96871.519999980927</v>
      </c>
      <c r="N160" s="173">
        <f t="shared" si="28"/>
        <v>65104811.980000779</v>
      </c>
    </row>
    <row r="161" spans="2:14" x14ac:dyDescent="0.25">
      <c r="B161" s="130">
        <f t="shared" si="25"/>
        <v>90</v>
      </c>
      <c r="C161" s="145" t="str">
        <f t="shared" si="26"/>
        <v>Nov 2016</v>
      </c>
      <c r="D161" s="173">
        <f t="shared" si="27"/>
        <v>0</v>
      </c>
      <c r="E161" s="173">
        <f t="shared" si="24"/>
        <v>11216.010000035167</v>
      </c>
      <c r="F161" s="173">
        <f t="shared" si="24"/>
        <v>6737310.3400000334</v>
      </c>
      <c r="G161" s="173">
        <f t="shared" si="24"/>
        <v>20887674.47999835</v>
      </c>
      <c r="H161" s="173">
        <f t="shared" si="24"/>
        <v>4486086.5799996853</v>
      </c>
      <c r="I161" s="173">
        <f t="shared" si="24"/>
        <v>10505210.659999847</v>
      </c>
      <c r="J161" s="173">
        <f t="shared" si="24"/>
        <v>-2985080.4200000763</v>
      </c>
      <c r="K161" s="173">
        <f t="shared" si="24"/>
        <v>4884496.6299999952</v>
      </c>
      <c r="L161" s="173">
        <f t="shared" si="24"/>
        <v>-5088933.0300000161</v>
      </c>
      <c r="M161" s="173">
        <f t="shared" si="24"/>
        <v>-9990.7199999988079</v>
      </c>
      <c r="N161" s="173">
        <f t="shared" si="28"/>
        <v>39427990.529997855</v>
      </c>
    </row>
    <row r="162" spans="2:14" x14ac:dyDescent="0.25">
      <c r="B162" s="130">
        <f t="shared" si="25"/>
        <v>91</v>
      </c>
      <c r="C162" s="145" t="str">
        <f t="shared" si="26"/>
        <v>Dec 2016</v>
      </c>
      <c r="D162" s="173">
        <f t="shared" si="27"/>
        <v>-7.4505805969238281E-9</v>
      </c>
      <c r="E162" s="173">
        <f t="shared" si="24"/>
        <v>2180.2699999809265</v>
      </c>
      <c r="F162" s="173">
        <f t="shared" si="24"/>
        <v>4808022.5299999118</v>
      </c>
      <c r="G162" s="173">
        <f t="shared" si="24"/>
        <v>33624406.45000124</v>
      </c>
      <c r="H162" s="173">
        <f t="shared" si="24"/>
        <v>131294.92999982834</v>
      </c>
      <c r="I162" s="173">
        <f t="shared" si="24"/>
        <v>13401543.930000067</v>
      </c>
      <c r="J162" s="173">
        <f t="shared" si="24"/>
        <v>2430588.310000062</v>
      </c>
      <c r="K162" s="173">
        <f t="shared" si="24"/>
        <v>-742545.55000001192</v>
      </c>
      <c r="L162" s="173">
        <f t="shared" si="24"/>
        <v>-506035.69000001252</v>
      </c>
      <c r="M162" s="173">
        <f t="shared" si="24"/>
        <v>2455281.4099999964</v>
      </c>
      <c r="N162" s="173">
        <f t="shared" si="28"/>
        <v>55604736.590001054</v>
      </c>
    </row>
    <row r="163" spans="2:14" x14ac:dyDescent="0.25">
      <c r="B163" s="130">
        <f t="shared" si="25"/>
        <v>92</v>
      </c>
      <c r="C163" s="136" t="s">
        <v>71</v>
      </c>
      <c r="D163" s="194">
        <f>SUM(D151:D162)</f>
        <v>-1622961.3299999945</v>
      </c>
      <c r="E163" s="194">
        <f t="shared" ref="E163:N163" si="29">SUM(E151:E162)</f>
        <v>2043610.1999999881</v>
      </c>
      <c r="F163" s="194">
        <f t="shared" si="29"/>
        <v>139100705.00999975</v>
      </c>
      <c r="G163" s="194">
        <f t="shared" si="29"/>
        <v>292995764.07000017</v>
      </c>
      <c r="H163" s="194">
        <f t="shared" si="29"/>
        <v>-6426822.1300001144</v>
      </c>
      <c r="I163" s="194">
        <f t="shared" si="29"/>
        <v>146939930.24999997</v>
      </c>
      <c r="J163" s="194">
        <f t="shared" si="29"/>
        <v>29392133.170000076</v>
      </c>
      <c r="K163" s="194">
        <f t="shared" si="29"/>
        <v>6846465.0899999812</v>
      </c>
      <c r="L163" s="194">
        <f t="shared" si="29"/>
        <v>31262844.650000028</v>
      </c>
      <c r="M163" s="194">
        <f t="shared" si="29"/>
        <v>15842118.150000006</v>
      </c>
      <c r="N163" s="194">
        <f t="shared" si="29"/>
        <v>656373787.12999988</v>
      </c>
    </row>
    <row r="164" spans="2:14" x14ac:dyDescent="0.25">
      <c r="B164" s="130"/>
      <c r="C164" s="136"/>
      <c r="D164" s="170"/>
      <c r="E164" s="170"/>
      <c r="F164" s="170"/>
      <c r="G164" s="170"/>
      <c r="H164" s="170"/>
      <c r="I164" s="170"/>
      <c r="J164" s="170"/>
      <c r="K164" s="170"/>
      <c r="L164" s="170"/>
      <c r="M164" s="170"/>
      <c r="N164" s="170"/>
    </row>
    <row r="165" spans="2:14" x14ac:dyDescent="0.25">
      <c r="C165" s="167" t="s">
        <v>75</v>
      </c>
      <c r="N165" s="170"/>
    </row>
    <row r="166" spans="2:14" x14ac:dyDescent="0.25">
      <c r="N166" s="170"/>
    </row>
    <row r="167" spans="2:14" x14ac:dyDescent="0.25">
      <c r="C167" s="127" t="s">
        <v>19</v>
      </c>
      <c r="D167" s="174">
        <v>350.1</v>
      </c>
      <c r="E167" s="174">
        <v>350.2</v>
      </c>
      <c r="F167" s="174">
        <v>352</v>
      </c>
      <c r="G167" s="174">
        <v>353</v>
      </c>
      <c r="H167" s="174">
        <v>354</v>
      </c>
      <c r="I167" s="129">
        <v>355</v>
      </c>
      <c r="J167" s="129">
        <v>356</v>
      </c>
      <c r="K167" s="129">
        <v>357</v>
      </c>
      <c r="L167" s="129">
        <v>358</v>
      </c>
      <c r="M167" s="129">
        <v>359</v>
      </c>
      <c r="N167" s="170"/>
    </row>
    <row r="168" spans="2:14" x14ac:dyDescent="0.25">
      <c r="B168" s="130">
        <f>B163+1</f>
        <v>93</v>
      </c>
      <c r="C168" s="145" t="str">
        <f>C151</f>
        <v>Jan 2016</v>
      </c>
      <c r="D168" s="175">
        <f>D151/D$163</f>
        <v>0.9957816370153405</v>
      </c>
      <c r="E168" s="175">
        <f t="shared" ref="E168:M168" si="30">E151/E$163</f>
        <v>1.0319438609181216E-2</v>
      </c>
      <c r="F168" s="175">
        <f t="shared" si="30"/>
        <v>0.11795216177244006</v>
      </c>
      <c r="G168" s="175">
        <f t="shared" si="30"/>
        <v>4.652532572704466E-2</v>
      </c>
      <c r="H168" s="175">
        <f t="shared" si="30"/>
        <v>-0.91741561703990493</v>
      </c>
      <c r="I168" s="175">
        <f t="shared" si="30"/>
        <v>6.5562842677338987E-2</v>
      </c>
      <c r="J168" s="175">
        <f t="shared" si="30"/>
        <v>0.32047540733159108</v>
      </c>
      <c r="K168" s="175">
        <f t="shared" si="30"/>
        <v>0.13706970789505754</v>
      </c>
      <c r="L168" s="175">
        <f t="shared" si="30"/>
        <v>5.4440189594199197E-2</v>
      </c>
      <c r="M168" s="175">
        <f t="shared" si="30"/>
        <v>-2.7733993386472068E-3</v>
      </c>
      <c r="N168" s="170"/>
    </row>
    <row r="169" spans="2:14" x14ac:dyDescent="0.25">
      <c r="B169" s="130">
        <f t="shared" ref="B169:B179" si="31">B168+1</f>
        <v>94</v>
      </c>
      <c r="C169" s="145" t="str">
        <f t="shared" ref="C169:C179" si="32">C152</f>
        <v>Feb 2016</v>
      </c>
      <c r="D169" s="175">
        <f t="shared" ref="D169:M179" si="33">D152/D$163</f>
        <v>6.6906708122538695E-4</v>
      </c>
      <c r="E169" s="175">
        <f t="shared" si="33"/>
        <v>-2.0237714609233921E-3</v>
      </c>
      <c r="F169" s="175">
        <f t="shared" si="33"/>
        <v>1.7970092673652054E-2</v>
      </c>
      <c r="G169" s="175">
        <f t="shared" si="33"/>
        <v>2.2961969437865843E-2</v>
      </c>
      <c r="H169" s="175">
        <f t="shared" si="33"/>
        <v>-1.7318823790504095E-3</v>
      </c>
      <c r="I169" s="175">
        <f t="shared" si="33"/>
        <v>7.1741526976804318E-2</v>
      </c>
      <c r="J169" s="175">
        <f t="shared" si="33"/>
        <v>7.9614071781197535E-3</v>
      </c>
      <c r="K169" s="175">
        <f t="shared" si="33"/>
        <v>-3.6471769988975942E-3</v>
      </c>
      <c r="L169" s="175">
        <f t="shared" si="33"/>
        <v>3.3044120314896668E-3</v>
      </c>
      <c r="M169" s="175">
        <f t="shared" si="33"/>
        <v>3.4744406952741955E-4</v>
      </c>
      <c r="N169" s="170"/>
    </row>
    <row r="170" spans="2:14" x14ac:dyDescent="0.25">
      <c r="B170" s="130">
        <f t="shared" si="31"/>
        <v>95</v>
      </c>
      <c r="C170" s="145" t="str">
        <f t="shared" si="32"/>
        <v>Mar 2016</v>
      </c>
      <c r="D170" s="175">
        <f t="shared" si="33"/>
        <v>-1.1252332179656581E-3</v>
      </c>
      <c r="E170" s="175">
        <f t="shared" si="33"/>
        <v>4.0515299835565295E-2</v>
      </c>
      <c r="F170" s="175">
        <f t="shared" si="33"/>
        <v>0.10086294565502936</v>
      </c>
      <c r="G170" s="175">
        <f t="shared" si="33"/>
        <v>0.10284560896518398</v>
      </c>
      <c r="H170" s="175">
        <f t="shared" si="33"/>
        <v>-0.10920485362807174</v>
      </c>
      <c r="I170" s="175">
        <f t="shared" si="33"/>
        <v>0.17010764179262244</v>
      </c>
      <c r="J170" s="175">
        <f t="shared" si="33"/>
        <v>0.32699765152839083</v>
      </c>
      <c r="K170" s="175">
        <f t="shared" si="33"/>
        <v>3.9743239237053311E-3</v>
      </c>
      <c r="L170" s="175">
        <f t="shared" si="33"/>
        <v>4.5481942731656226E-2</v>
      </c>
      <c r="M170" s="175">
        <f t="shared" si="33"/>
        <v>0.55669688147099239</v>
      </c>
      <c r="N170" s="170"/>
    </row>
    <row r="171" spans="2:14" x14ac:dyDescent="0.25">
      <c r="B171" s="130">
        <f t="shared" si="31"/>
        <v>96</v>
      </c>
      <c r="C171" s="145" t="str">
        <f t="shared" si="32"/>
        <v>Apr 2016</v>
      </c>
      <c r="D171" s="175">
        <f t="shared" si="33"/>
        <v>6.1739610271194321E-4</v>
      </c>
      <c r="E171" s="175">
        <f t="shared" si="33"/>
        <v>2.4477417464539484E-3</v>
      </c>
      <c r="F171" s="175">
        <f t="shared" si="33"/>
        <v>0.27744095213051329</v>
      </c>
      <c r="G171" s="175">
        <f t="shared" si="33"/>
        <v>5.9640251917857892E-2</v>
      </c>
      <c r="H171" s="175">
        <f t="shared" si="33"/>
        <v>0.19665046494765789</v>
      </c>
      <c r="I171" s="175">
        <f t="shared" si="33"/>
        <v>8.8442215998670276E-2</v>
      </c>
      <c r="J171" s="175">
        <f t="shared" si="33"/>
        <v>-8.0091485241429432E-3</v>
      </c>
      <c r="K171" s="175">
        <f t="shared" si="33"/>
        <v>0.33989112621035844</v>
      </c>
      <c r="L171" s="175">
        <f t="shared" si="33"/>
        <v>0.26452396231320013</v>
      </c>
      <c r="M171" s="175">
        <f t="shared" si="33"/>
        <v>2.6501709937064109E-2</v>
      </c>
      <c r="N171" s="170"/>
    </row>
    <row r="172" spans="2:14" x14ac:dyDescent="0.25">
      <c r="B172" s="130">
        <f t="shared" si="31"/>
        <v>97</v>
      </c>
      <c r="C172" s="145" t="str">
        <f t="shared" si="32"/>
        <v>May 2016</v>
      </c>
      <c r="D172" s="175">
        <f t="shared" si="33"/>
        <v>-6.1670600617260189E-4</v>
      </c>
      <c r="E172" s="175">
        <f t="shared" si="33"/>
        <v>4.1596973825938858E-3</v>
      </c>
      <c r="F172" s="175">
        <f t="shared" si="33"/>
        <v>8.4218485443015387E-3</v>
      </c>
      <c r="G172" s="175">
        <f t="shared" si="33"/>
        <v>8.2493614802687919E-3</v>
      </c>
      <c r="H172" s="175">
        <f t="shared" si="33"/>
        <v>-0.42995936469146467</v>
      </c>
      <c r="I172" s="175">
        <f t="shared" si="33"/>
        <v>5.8183152499488459E-2</v>
      </c>
      <c r="J172" s="175">
        <f t="shared" si="33"/>
        <v>1.6216039075593894E-2</v>
      </c>
      <c r="K172" s="175">
        <f t="shared" si="33"/>
        <v>3.5058059428446142E-2</v>
      </c>
      <c r="L172" s="175">
        <f t="shared" si="33"/>
        <v>5.1021396416655367E-2</v>
      </c>
      <c r="M172" s="175">
        <f t="shared" si="33"/>
        <v>6.3782061870306647E-2</v>
      </c>
      <c r="N172" s="170"/>
    </row>
    <row r="173" spans="2:14" x14ac:dyDescent="0.25">
      <c r="B173" s="130">
        <f t="shared" si="31"/>
        <v>98</v>
      </c>
      <c r="C173" s="145" t="str">
        <f t="shared" si="32"/>
        <v>Jun 2016</v>
      </c>
      <c r="D173" s="175">
        <f t="shared" si="33"/>
        <v>-8.1900903948602588E-4</v>
      </c>
      <c r="E173" s="175">
        <f t="shared" si="33"/>
        <v>-0.45822153853021658</v>
      </c>
      <c r="F173" s="175">
        <f t="shared" si="33"/>
        <v>6.7291937803818785E-2</v>
      </c>
      <c r="G173" s="175">
        <f t="shared" si="33"/>
        <v>0.17082338984956019</v>
      </c>
      <c r="H173" s="175">
        <f t="shared" si="33"/>
        <v>3.3739393889215257</v>
      </c>
      <c r="I173" s="175">
        <f t="shared" si="33"/>
        <v>0.12490942617689244</v>
      </c>
      <c r="J173" s="175">
        <f t="shared" si="33"/>
        <v>5.608559441623482E-2</v>
      </c>
      <c r="K173" s="175">
        <f t="shared" si="33"/>
        <v>0.47483314488061068</v>
      </c>
      <c r="L173" s="175">
        <f t="shared" si="33"/>
        <v>0.77577479181824949</v>
      </c>
      <c r="M173" s="175">
        <f t="shared" si="33"/>
        <v>0.18564964117503321</v>
      </c>
      <c r="N173" s="170"/>
    </row>
    <row r="174" spans="2:14" x14ac:dyDescent="0.25">
      <c r="B174" s="130">
        <f t="shared" si="31"/>
        <v>99</v>
      </c>
      <c r="C174" s="145" t="str">
        <f t="shared" si="32"/>
        <v>Jul 2016</v>
      </c>
      <c r="D174" s="175">
        <f t="shared" si="33"/>
        <v>3.5218645659253378E-3</v>
      </c>
      <c r="E174" s="175">
        <f t="shared" si="33"/>
        <v>2.0134906353649943E-3</v>
      </c>
      <c r="F174" s="175">
        <f t="shared" si="33"/>
        <v>8.4845999013100984E-2</v>
      </c>
      <c r="G174" s="175">
        <f t="shared" si="33"/>
        <v>0.29156701050323358</v>
      </c>
      <c r="H174" s="175">
        <f t="shared" si="33"/>
        <v>9.6357466796652178E-2</v>
      </c>
      <c r="I174" s="175">
        <f t="shared" si="33"/>
        <v>5.3282883942297847E-2</v>
      </c>
      <c r="J174" s="175">
        <f t="shared" si="33"/>
        <v>-2.716719488789314E-2</v>
      </c>
      <c r="K174" s="175">
        <f t="shared" si="33"/>
        <v>8.8805941753513404E-2</v>
      </c>
      <c r="L174" s="175">
        <f t="shared" si="33"/>
        <v>3.1819263446328669E-2</v>
      </c>
      <c r="M174" s="175">
        <f t="shared" si="33"/>
        <v>2.2295887245356326E-2</v>
      </c>
      <c r="N174" s="170"/>
    </row>
    <row r="175" spans="2:14" x14ac:dyDescent="0.25">
      <c r="B175" s="130">
        <f t="shared" si="31"/>
        <v>100</v>
      </c>
      <c r="C175" s="145" t="str">
        <f t="shared" si="32"/>
        <v>Aug 2016</v>
      </c>
      <c r="D175" s="175">
        <f t="shared" si="33"/>
        <v>1.1057626369935813E-3</v>
      </c>
      <c r="E175" s="175">
        <f t="shared" si="33"/>
        <v>8.8949399450011356E-3</v>
      </c>
      <c r="F175" s="175">
        <f t="shared" si="33"/>
        <v>-7.7602649096751228E-3</v>
      </c>
      <c r="G175" s="175">
        <f t="shared" si="33"/>
        <v>2.2013738391290405E-3</v>
      </c>
      <c r="H175" s="175">
        <f t="shared" si="33"/>
        <v>-0.2064798687683739</v>
      </c>
      <c r="I175" s="175">
        <f t="shared" si="33"/>
        <v>7.0081619764482322E-2</v>
      </c>
      <c r="J175" s="175">
        <f t="shared" si="33"/>
        <v>1.4339830918770606E-2</v>
      </c>
      <c r="K175" s="175">
        <f t="shared" si="33"/>
        <v>9.6695430605051466E-2</v>
      </c>
      <c r="L175" s="175">
        <f t="shared" si="33"/>
        <v>-3.6095628936954345E-2</v>
      </c>
      <c r="M175" s="175">
        <f t="shared" si="33"/>
        <v>-1.3108449137511687E-3</v>
      </c>
      <c r="N175" s="170"/>
    </row>
    <row r="176" spans="2:14" x14ac:dyDescent="0.25">
      <c r="B176" s="130">
        <f t="shared" si="31"/>
        <v>101</v>
      </c>
      <c r="C176" s="145" t="str">
        <f t="shared" si="32"/>
        <v>Sep 2016</v>
      </c>
      <c r="D176" s="175">
        <f t="shared" si="33"/>
        <v>8.6522086142988292E-4</v>
      </c>
      <c r="E176" s="175">
        <f t="shared" si="33"/>
        <v>1.3354575691587487</v>
      </c>
      <c r="F176" s="175">
        <f t="shared" si="33"/>
        <v>6.4788253225260793E-3</v>
      </c>
      <c r="G176" s="175">
        <f t="shared" si="33"/>
        <v>2.022691856590933E-2</v>
      </c>
      <c r="H176" s="175">
        <f t="shared" si="33"/>
        <v>-8.1299799408000001E-2</v>
      </c>
      <c r="I176" s="175">
        <f t="shared" si="33"/>
        <v>7.190660858504147E-2</v>
      </c>
      <c r="J176" s="175">
        <f t="shared" si="33"/>
        <v>0.25906472374628647</v>
      </c>
      <c r="K176" s="175">
        <f t="shared" si="33"/>
        <v>0.12315866055193762</v>
      </c>
      <c r="L176" s="175">
        <f t="shared" si="33"/>
        <v>1.3589558620028039E-2</v>
      </c>
      <c r="M176" s="175">
        <f t="shared" si="33"/>
        <v>5.7165524926724933E-4</v>
      </c>
      <c r="N176" s="170"/>
    </row>
    <row r="177" spans="2:14" x14ac:dyDescent="0.25">
      <c r="B177" s="130">
        <f t="shared" si="31"/>
        <v>102</v>
      </c>
      <c r="C177" s="145" t="str">
        <f t="shared" si="32"/>
        <v>Oct 2016</v>
      </c>
      <c r="D177" s="175">
        <f t="shared" si="33"/>
        <v>-6.8860980781259773E-15</v>
      </c>
      <c r="E177" s="175">
        <f t="shared" si="33"/>
        <v>4.9881929538211155E-2</v>
      </c>
      <c r="F177" s="175">
        <f t="shared" si="33"/>
        <v>0.24349568636309277</v>
      </c>
      <c r="G177" s="175">
        <f t="shared" si="33"/>
        <v>8.8908042178306501E-2</v>
      </c>
      <c r="H177" s="175">
        <f t="shared" si="33"/>
        <v>-0.20240108776745291</v>
      </c>
      <c r="I177" s="175">
        <f t="shared" si="33"/>
        <v>6.3084613652862692E-2</v>
      </c>
      <c r="J177" s="175">
        <f t="shared" si="33"/>
        <v>5.2901013036619933E-2</v>
      </c>
      <c r="K177" s="175">
        <f t="shared" si="33"/>
        <v>-0.90081580478781431</v>
      </c>
      <c r="L177" s="175">
        <f t="shared" si="33"/>
        <v>-2.4894448944522429E-2</v>
      </c>
      <c r="M177" s="175">
        <f t="shared" si="33"/>
        <v>-6.1148085806935412E-3</v>
      </c>
      <c r="N177" s="170"/>
    </row>
    <row r="178" spans="2:14" x14ac:dyDescent="0.25">
      <c r="B178" s="130">
        <f t="shared" si="31"/>
        <v>103</v>
      </c>
      <c r="C178" s="145" t="str">
        <f t="shared" si="32"/>
        <v>Nov 2016</v>
      </c>
      <c r="D178" s="175">
        <f t="shared" si="33"/>
        <v>0</v>
      </c>
      <c r="E178" s="175">
        <f t="shared" si="33"/>
        <v>5.4883313853274131E-3</v>
      </c>
      <c r="F178" s="175">
        <f t="shared" si="33"/>
        <v>4.8434767742663115E-2</v>
      </c>
      <c r="G178" s="175">
        <f t="shared" si="33"/>
        <v>7.129002204621647E-2</v>
      </c>
      <c r="H178" s="175">
        <f t="shared" si="33"/>
        <v>-0.69802563214856006</v>
      </c>
      <c r="I178" s="175">
        <f t="shared" si="33"/>
        <v>7.1493232929446343E-2</v>
      </c>
      <c r="J178" s="175">
        <f t="shared" si="33"/>
        <v>-0.10156052310782547</v>
      </c>
      <c r="K178" s="175">
        <f t="shared" si="33"/>
        <v>0.71343336536314805</v>
      </c>
      <c r="L178" s="175">
        <f t="shared" si="33"/>
        <v>-0.16277895012346585</v>
      </c>
      <c r="M178" s="175">
        <f t="shared" si="33"/>
        <v>-6.3064294214967734E-4</v>
      </c>
      <c r="N178" s="170"/>
    </row>
    <row r="179" spans="2:14" x14ac:dyDescent="0.25">
      <c r="B179" s="130">
        <f t="shared" si="31"/>
        <v>104</v>
      </c>
      <c r="C179" s="145" t="str">
        <f t="shared" si="32"/>
        <v>Dec 2016</v>
      </c>
      <c r="D179" s="175">
        <f t="shared" si="33"/>
        <v>4.5907320520839851E-15</v>
      </c>
      <c r="E179" s="175">
        <f t="shared" si="33"/>
        <v>1.06687175469223E-3</v>
      </c>
      <c r="F179" s="175">
        <f t="shared" si="33"/>
        <v>3.4565047888537086E-2</v>
      </c>
      <c r="G179" s="175">
        <f t="shared" si="33"/>
        <v>0.11476072548942369</v>
      </c>
      <c r="H179" s="175">
        <f t="shared" si="33"/>
        <v>-2.0429214834957007E-2</v>
      </c>
      <c r="I179" s="175">
        <f t="shared" si="33"/>
        <v>9.1204235004052406E-2</v>
      </c>
      <c r="J179" s="175">
        <f t="shared" si="33"/>
        <v>8.2695199288254168E-2</v>
      </c>
      <c r="K179" s="175">
        <f t="shared" si="33"/>
        <v>-0.10845677882511688</v>
      </c>
      <c r="L179" s="175">
        <f t="shared" si="33"/>
        <v>-1.6186488966864122E-2</v>
      </c>
      <c r="M179" s="175">
        <f t="shared" si="33"/>
        <v>0.15498441475769423</v>
      </c>
      <c r="N179" s="170"/>
    </row>
    <row r="181" spans="2:14" x14ac:dyDescent="0.25">
      <c r="C181" s="140" t="s">
        <v>76</v>
      </c>
    </row>
    <row r="182" spans="2:14" x14ac:dyDescent="0.25">
      <c r="C182" s="155" t="s">
        <v>77</v>
      </c>
    </row>
    <row r="183" spans="2:14" x14ac:dyDescent="0.25">
      <c r="C183" s="155"/>
      <c r="D183" s="129">
        <v>350.1</v>
      </c>
      <c r="E183" s="129">
        <v>350.2</v>
      </c>
      <c r="F183" s="129">
        <v>352</v>
      </c>
      <c r="G183" s="129">
        <v>353</v>
      </c>
      <c r="H183" s="129">
        <v>354</v>
      </c>
      <c r="I183" s="129">
        <v>355</v>
      </c>
      <c r="J183" s="129">
        <v>356</v>
      </c>
      <c r="K183" s="129">
        <v>357</v>
      </c>
      <c r="L183" s="129">
        <v>358</v>
      </c>
      <c r="M183" s="129">
        <v>359</v>
      </c>
      <c r="N183" s="130" t="s">
        <v>20</v>
      </c>
    </row>
    <row r="184" spans="2:14" x14ac:dyDescent="0.25">
      <c r="B184" s="130">
        <f>B179+1</f>
        <v>105</v>
      </c>
      <c r="C184" s="155"/>
      <c r="D184" s="176">
        <f t="shared" ref="D184:N184" si="34">D25-D13</f>
        <v>8869048.5419605076</v>
      </c>
      <c r="E184" s="176">
        <f t="shared" si="34"/>
        <v>2254447.2308546305</v>
      </c>
      <c r="F184" s="176">
        <f t="shared" si="34"/>
        <v>61124235.011641979</v>
      </c>
      <c r="G184" s="176">
        <f t="shared" si="34"/>
        <v>218998202.23022413</v>
      </c>
      <c r="H184" s="176">
        <f t="shared" si="34"/>
        <v>69368469.570474148</v>
      </c>
      <c r="I184" s="176">
        <f t="shared" si="34"/>
        <v>13579661.393843889</v>
      </c>
      <c r="J184" s="176">
        <f t="shared" si="34"/>
        <v>-3742390.8130452633</v>
      </c>
      <c r="K184" s="176">
        <f t="shared" si="34"/>
        <v>185286780.12931573</v>
      </c>
      <c r="L184" s="176">
        <f t="shared" si="34"/>
        <v>68939143.785460576</v>
      </c>
      <c r="M184" s="176">
        <f t="shared" si="34"/>
        <v>-5060454.2383535504</v>
      </c>
      <c r="N184" s="176">
        <f t="shared" si="34"/>
        <v>619617142.84237671</v>
      </c>
    </row>
    <row r="185" spans="2:14" x14ac:dyDescent="0.25">
      <c r="C185" s="155"/>
      <c r="D185" s="176"/>
      <c r="E185" s="176"/>
      <c r="F185" s="176"/>
      <c r="G185" s="176"/>
      <c r="H185" s="176"/>
      <c r="I185" s="176"/>
      <c r="J185" s="176"/>
      <c r="K185" s="176"/>
      <c r="L185" s="176"/>
      <c r="M185" s="176"/>
      <c r="N185" s="176"/>
    </row>
    <row r="186" spans="2:14" x14ac:dyDescent="0.25">
      <c r="C186" s="155" t="s">
        <v>78</v>
      </c>
      <c r="D186" s="176"/>
      <c r="E186" s="176"/>
      <c r="F186" s="176"/>
      <c r="G186" s="176"/>
      <c r="H186" s="176"/>
      <c r="I186" s="176"/>
      <c r="J186" s="176"/>
      <c r="K186" s="176"/>
      <c r="L186" s="176"/>
      <c r="M186" s="176"/>
      <c r="N186" s="176"/>
    </row>
    <row r="187" spans="2:14" x14ac:dyDescent="0.25">
      <c r="C187" s="155"/>
      <c r="D187" s="129">
        <v>350.1</v>
      </c>
      <c r="E187" s="129">
        <v>350.2</v>
      </c>
      <c r="F187" s="129">
        <v>352</v>
      </c>
      <c r="G187" s="129">
        <v>353</v>
      </c>
      <c r="H187" s="129">
        <v>354</v>
      </c>
      <c r="I187" s="129">
        <v>355</v>
      </c>
      <c r="J187" s="129">
        <v>356</v>
      </c>
      <c r="K187" s="129">
        <v>357</v>
      </c>
      <c r="L187" s="129">
        <v>358</v>
      </c>
      <c r="M187" s="129">
        <v>359</v>
      </c>
      <c r="N187" s="130" t="s">
        <v>20</v>
      </c>
    </row>
    <row r="188" spans="2:14" x14ac:dyDescent="0.25">
      <c r="B188" s="130">
        <f>B184+1</f>
        <v>106</v>
      </c>
      <c r="C188" s="155"/>
      <c r="D188" s="176">
        <f>D144</f>
        <v>9482183.6099999957</v>
      </c>
      <c r="E188" s="176">
        <f t="shared" ref="E188:N188" si="35">E144</f>
        <v>612406.43999999762</v>
      </c>
      <c r="F188" s="176">
        <f t="shared" si="35"/>
        <v>-149600.82999992371</v>
      </c>
      <c r="G188" s="176">
        <f t="shared" si="35"/>
        <v>45539308.889999866</v>
      </c>
      <c r="H188" s="176">
        <f t="shared" si="35"/>
        <v>51952222.490000248</v>
      </c>
      <c r="I188" s="176">
        <f t="shared" si="35"/>
        <v>2657678.4199999869</v>
      </c>
      <c r="J188" s="176">
        <f t="shared" si="35"/>
        <v>-11688496.890000105</v>
      </c>
      <c r="K188" s="176">
        <f t="shared" si="35"/>
        <v>185286762.54000002</v>
      </c>
      <c r="L188" s="176">
        <f t="shared" si="35"/>
        <v>68859161.75999999</v>
      </c>
      <c r="M188" s="176">
        <f t="shared" si="35"/>
        <v>-9324924.7600000203</v>
      </c>
      <c r="N188" s="176">
        <f t="shared" si="35"/>
        <v>343226701.67000008</v>
      </c>
    </row>
    <row r="189" spans="2:14" x14ac:dyDescent="0.25">
      <c r="C189" s="155"/>
      <c r="D189" s="176"/>
      <c r="E189" s="176"/>
      <c r="F189" s="176"/>
      <c r="G189" s="176"/>
      <c r="H189" s="176"/>
      <c r="I189" s="176"/>
      <c r="J189" s="176"/>
      <c r="K189" s="176"/>
      <c r="L189" s="176"/>
      <c r="M189" s="176"/>
      <c r="N189" s="176"/>
    </row>
    <row r="190" spans="2:14" x14ac:dyDescent="0.25">
      <c r="C190" s="155" t="s">
        <v>79</v>
      </c>
      <c r="D190" s="176"/>
      <c r="E190" s="176"/>
      <c r="F190" s="176"/>
      <c r="G190" s="176"/>
      <c r="H190" s="176"/>
      <c r="I190" s="176"/>
      <c r="J190" s="176"/>
      <c r="K190" s="176"/>
      <c r="L190" s="176"/>
      <c r="M190" s="176"/>
      <c r="N190" s="176"/>
    </row>
    <row r="191" spans="2:14" x14ac:dyDescent="0.25">
      <c r="D191" s="129">
        <v>350.1</v>
      </c>
      <c r="E191" s="129">
        <v>350.2</v>
      </c>
      <c r="F191" s="129">
        <v>352</v>
      </c>
      <c r="G191" s="129">
        <v>353</v>
      </c>
      <c r="H191" s="129">
        <v>354</v>
      </c>
      <c r="I191" s="129">
        <v>355</v>
      </c>
      <c r="J191" s="129">
        <v>356</v>
      </c>
      <c r="K191" s="129">
        <v>357</v>
      </c>
      <c r="L191" s="129">
        <v>358</v>
      </c>
      <c r="M191" s="129">
        <v>359</v>
      </c>
      <c r="N191" s="130" t="s">
        <v>20</v>
      </c>
    </row>
    <row r="192" spans="2:14" x14ac:dyDescent="0.25">
      <c r="B192" s="130">
        <f>B188+1</f>
        <v>107</v>
      </c>
      <c r="D192" s="176">
        <f>D184-D188</f>
        <v>-613135.06803948805</v>
      </c>
      <c r="E192" s="176">
        <f t="shared" ref="E192:N192" si="36">E184-E188</f>
        <v>1642040.7908546329</v>
      </c>
      <c r="F192" s="176">
        <f t="shared" si="36"/>
        <v>61273835.841641903</v>
      </c>
      <c r="G192" s="176">
        <f t="shared" si="36"/>
        <v>173458893.34022427</v>
      </c>
      <c r="H192" s="176">
        <f t="shared" si="36"/>
        <v>17416247.0804739</v>
      </c>
      <c r="I192" s="176">
        <f t="shared" si="36"/>
        <v>10921982.973843902</v>
      </c>
      <c r="J192" s="176">
        <f t="shared" si="36"/>
        <v>7946106.0769548416</v>
      </c>
      <c r="K192" s="176">
        <f t="shared" si="36"/>
        <v>17.589315712451935</v>
      </c>
      <c r="L192" s="176">
        <f t="shared" si="36"/>
        <v>79982.025460585952</v>
      </c>
      <c r="M192" s="176">
        <f t="shared" si="36"/>
        <v>4264470.5216464698</v>
      </c>
      <c r="N192" s="176">
        <f t="shared" si="36"/>
        <v>276390441.17237663</v>
      </c>
    </row>
    <row r="194" spans="2:14" x14ac:dyDescent="0.25">
      <c r="C194" s="167" t="s">
        <v>80</v>
      </c>
      <c r="D194" s="142"/>
      <c r="E194" s="142"/>
      <c r="F194" s="142"/>
      <c r="G194" s="142"/>
      <c r="H194" s="142"/>
    </row>
    <row r="195" spans="2:14" x14ac:dyDescent="0.25">
      <c r="B195" s="9"/>
      <c r="C195" s="168" t="s">
        <v>5</v>
      </c>
      <c r="D195" s="168" t="s">
        <v>6</v>
      </c>
      <c r="E195" s="168" t="s">
        <v>7</v>
      </c>
      <c r="F195" s="168" t="s">
        <v>8</v>
      </c>
      <c r="G195" s="168" t="s">
        <v>9</v>
      </c>
      <c r="H195" s="168" t="s">
        <v>10</v>
      </c>
      <c r="I195" s="124" t="s">
        <v>11</v>
      </c>
      <c r="J195" s="124" t="s">
        <v>12</v>
      </c>
      <c r="K195" s="124" t="s">
        <v>13</v>
      </c>
      <c r="L195" s="124" t="s">
        <v>14</v>
      </c>
      <c r="M195" s="124" t="s">
        <v>15</v>
      </c>
      <c r="N195" s="124" t="s">
        <v>16</v>
      </c>
    </row>
    <row r="196" spans="2:14" x14ac:dyDescent="0.25">
      <c r="B196" s="118"/>
      <c r="C196" s="125"/>
      <c r="D196" s="141"/>
      <c r="E196" s="141"/>
      <c r="F196" s="141"/>
      <c r="G196" s="177"/>
      <c r="H196" s="141"/>
      <c r="I196" s="118"/>
      <c r="J196" s="118"/>
      <c r="K196" s="118"/>
      <c r="L196" s="118"/>
      <c r="M196" s="118"/>
      <c r="N196" s="126" t="s">
        <v>17</v>
      </c>
    </row>
    <row r="197" spans="2:14" x14ac:dyDescent="0.25">
      <c r="B197" s="128"/>
      <c r="C197" s="127" t="s">
        <v>19</v>
      </c>
      <c r="D197" s="174">
        <v>350.1</v>
      </c>
      <c r="E197" s="174">
        <v>350.2</v>
      </c>
      <c r="F197" s="174">
        <v>352</v>
      </c>
      <c r="G197" s="174">
        <v>353</v>
      </c>
      <c r="H197" s="174">
        <v>354</v>
      </c>
      <c r="I197" s="129">
        <v>355</v>
      </c>
      <c r="J197" s="129">
        <v>356</v>
      </c>
      <c r="K197" s="129">
        <v>357</v>
      </c>
      <c r="L197" s="129">
        <v>358</v>
      </c>
      <c r="M197" s="129">
        <v>359</v>
      </c>
      <c r="N197" s="130" t="s">
        <v>20</v>
      </c>
    </row>
    <row r="198" spans="2:14" x14ac:dyDescent="0.25">
      <c r="B198" s="130">
        <f>B192+1</f>
        <v>108</v>
      </c>
      <c r="C198" s="145" t="str">
        <f>C168</f>
        <v>Jan 2016</v>
      </c>
      <c r="D198" s="166">
        <f t="shared" ref="D198:M209" si="37">D$192*D168</f>
        <v>-610548.64176387363</v>
      </c>
      <c r="E198" s="166">
        <f t="shared" si="37"/>
        <v>16944.939134995755</v>
      </c>
      <c r="F198" s="166">
        <f t="shared" si="37"/>
        <v>7227381.3976112818</v>
      </c>
      <c r="G198" s="166">
        <f t="shared" si="37"/>
        <v>8070231.5129066315</v>
      </c>
      <c r="H198" s="166">
        <f t="shared" si="37"/>
        <v>-15977937.061852405</v>
      </c>
      <c r="I198" s="166">
        <f t="shared" si="37"/>
        <v>716076.25143870281</v>
      </c>
      <c r="J198" s="166">
        <f t="shared" si="37"/>
        <v>2546531.5817121342</v>
      </c>
      <c r="K198" s="166">
        <f t="shared" si="37"/>
        <v>2.4109623667797324</v>
      </c>
      <c r="L198" s="166">
        <f t="shared" si="37"/>
        <v>4354.2366302023665</v>
      </c>
      <c r="M198" s="166">
        <f t="shared" si="37"/>
        <v>-11827.079724414829</v>
      </c>
      <c r="N198" s="166">
        <f>SUM(D198:M198)</f>
        <v>1981209.5470556219</v>
      </c>
    </row>
    <row r="199" spans="2:14" x14ac:dyDescent="0.25">
      <c r="B199" s="130">
        <f t="shared" ref="B199:B210" si="38">B198+1</f>
        <v>109</v>
      </c>
      <c r="C199" s="145" t="str">
        <f t="shared" ref="C199:C209" si="39">C169</f>
        <v>Feb 2016</v>
      </c>
      <c r="D199" s="166">
        <f t="shared" si="37"/>
        <v>-410.22849037010928</v>
      </c>
      <c r="E199" s="166">
        <f t="shared" si="37"/>
        <v>-3323.1152902036824</v>
      </c>
      <c r="F199" s="166">
        <f t="shared" si="37"/>
        <v>1101096.5085444478</v>
      </c>
      <c r="G199" s="166">
        <f t="shared" si="37"/>
        <v>3982957.8076042607</v>
      </c>
      <c r="H199" s="166">
        <f t="shared" si="37"/>
        <v>-30162.891427860886</v>
      </c>
      <c r="I199" s="166">
        <f t="shared" si="37"/>
        <v>783559.73615821975</v>
      </c>
      <c r="J199" s="166">
        <f t="shared" si="37"/>
        <v>63262.18595916927</v>
      </c>
      <c r="K199" s="166">
        <f t="shared" si="37"/>
        <v>-6.4151347692802743E-2</v>
      </c>
      <c r="L199" s="166">
        <f t="shared" si="37"/>
        <v>264.29356723487308</v>
      </c>
      <c r="M199" s="166">
        <f t="shared" si="37"/>
        <v>1481.6649924205672</v>
      </c>
      <c r="N199" s="166">
        <f t="shared" ref="N199:N210" si="40">SUM(D199:M199)</f>
        <v>5898725.8974659722</v>
      </c>
    </row>
    <row r="200" spans="2:14" x14ac:dyDescent="0.25">
      <c r="B200" s="130">
        <f t="shared" si="38"/>
        <v>110</v>
      </c>
      <c r="C200" s="145" t="str">
        <f t="shared" si="39"/>
        <v>Mar 2016</v>
      </c>
      <c r="D200" s="166">
        <f t="shared" si="37"/>
        <v>689.91994565766583</v>
      </c>
      <c r="E200" s="166">
        <f t="shared" si="37"/>
        <v>66527.774983704207</v>
      </c>
      <c r="F200" s="166">
        <f t="shared" si="37"/>
        <v>6180259.5745707173</v>
      </c>
      <c r="G200" s="166">
        <f t="shared" si="37"/>
        <v>17839485.51600226</v>
      </c>
      <c r="H200" s="166">
        <f t="shared" si="37"/>
        <v>-1901938.713173484</v>
      </c>
      <c r="I200" s="166">
        <f t="shared" si="37"/>
        <v>1857912.7673797598</v>
      </c>
      <c r="J200" s="166">
        <f t="shared" si="37"/>
        <v>2598358.0259597083</v>
      </c>
      <c r="K200" s="166">
        <f t="shared" si="37"/>
        <v>6.9905638237603804E-2</v>
      </c>
      <c r="L200" s="166">
        <f t="shared" si="37"/>
        <v>3637.7379015602405</v>
      </c>
      <c r="M200" s="166">
        <f t="shared" si="37"/>
        <v>2374017.4405255658</v>
      </c>
      <c r="N200" s="166">
        <f t="shared" si="40"/>
        <v>29018950.114001092</v>
      </c>
    </row>
    <row r="201" spans="2:14" x14ac:dyDescent="0.25">
      <c r="B201" s="130">
        <f t="shared" si="38"/>
        <v>111</v>
      </c>
      <c r="C201" s="145" t="str">
        <f t="shared" si="39"/>
        <v>Apr 2016</v>
      </c>
      <c r="D201" s="166">
        <f t="shared" si="37"/>
        <v>-378.54720144360203</v>
      </c>
      <c r="E201" s="166">
        <f t="shared" si="37"/>
        <v>4019.2917931551415</v>
      </c>
      <c r="F201" s="166">
        <f t="shared" si="37"/>
        <v>16999871.356593899</v>
      </c>
      <c r="G201" s="166">
        <f t="shared" si="37"/>
        <v>10345132.096203817</v>
      </c>
      <c r="H201" s="166">
        <f t="shared" si="37"/>
        <v>3424913.0860184818</v>
      </c>
      <c r="I201" s="166">
        <f t="shared" si="37"/>
        <v>965964.3773065015</v>
      </c>
      <c r="J201" s="166">
        <f t="shared" si="37"/>
        <v>-63641.543758926142</v>
      </c>
      <c r="K201" s="166">
        <f t="shared" si="37"/>
        <v>5.9784523267748417</v>
      </c>
      <c r="L201" s="166">
        <f t="shared" si="37"/>
        <v>21157.162288669453</v>
      </c>
      <c r="M201" s="166">
        <f t="shared" si="37"/>
        <v>113015.76079983522</v>
      </c>
      <c r="N201" s="166">
        <f t="shared" si="40"/>
        <v>31810059.018496323</v>
      </c>
    </row>
    <row r="202" spans="2:14" x14ac:dyDescent="0.25">
      <c r="B202" s="130">
        <f t="shared" si="38"/>
        <v>112</v>
      </c>
      <c r="C202" s="145" t="str">
        <f t="shared" si="39"/>
        <v>May 2016</v>
      </c>
      <c r="D202" s="166">
        <f t="shared" si="37"/>
        <v>378.12407905499919</v>
      </c>
      <c r="E202" s="166">
        <f t="shared" si="37"/>
        <v>6830.3927798304103</v>
      </c>
      <c r="F202" s="166">
        <f t="shared" si="37"/>
        <v>516038.96518670331</v>
      </c>
      <c r="G202" s="166">
        <f t="shared" si="37"/>
        <v>1430925.1131308989</v>
      </c>
      <c r="H202" s="166">
        <f t="shared" si="37"/>
        <v>-7488278.5300301341</v>
      </c>
      <c r="I202" s="166">
        <f t="shared" si="37"/>
        <v>635475.40096397628</v>
      </c>
      <c r="J202" s="166">
        <f t="shared" si="37"/>
        <v>128854.36664271381</v>
      </c>
      <c r="K202" s="166">
        <f t="shared" si="37"/>
        <v>0.61664727555284138</v>
      </c>
      <c r="L202" s="166">
        <f t="shared" si="37"/>
        <v>4080.7946272315785</v>
      </c>
      <c r="M202" s="166">
        <f t="shared" si="37"/>
        <v>271996.72265575401</v>
      </c>
      <c r="N202" s="166">
        <f t="shared" si="40"/>
        <v>-4493698.033316697</v>
      </c>
    </row>
    <row r="203" spans="2:14" x14ac:dyDescent="0.25">
      <c r="B203" s="130">
        <f t="shared" si="38"/>
        <v>113</v>
      </c>
      <c r="C203" s="145" t="str">
        <f t="shared" si="39"/>
        <v>Jun 2016</v>
      </c>
      <c r="D203" s="166">
        <f t="shared" si="37"/>
        <v>502.16316315022021</v>
      </c>
      <c r="E203" s="166">
        <f t="shared" si="37"/>
        <v>-752418.45751478348</v>
      </c>
      <c r="F203" s="166">
        <f t="shared" si="37"/>
        <v>4123235.1504571694</v>
      </c>
      <c r="G203" s="166">
        <f t="shared" si="37"/>
        <v>29630836.159930412</v>
      </c>
      <c r="H203" s="166">
        <f t="shared" si="37"/>
        <v>58761362.032000415</v>
      </c>
      <c r="I203" s="166">
        <f t="shared" si="37"/>
        <v>1364258.625976631</v>
      </c>
      <c r="J203" s="166">
        <f t="shared" si="37"/>
        <v>445662.08262046805</v>
      </c>
      <c r="K203" s="166">
        <f t="shared" si="37"/>
        <v>8.3519900960414919</v>
      </c>
      <c r="L203" s="166">
        <f t="shared" si="37"/>
        <v>62048.039150887998</v>
      </c>
      <c r="M203" s="166">
        <f t="shared" si="37"/>
        <v>791697.42214517388</v>
      </c>
      <c r="N203" s="166">
        <f t="shared" si="40"/>
        <v>94427191.569919631</v>
      </c>
    </row>
    <row r="204" spans="2:14" x14ac:dyDescent="0.25">
      <c r="B204" s="130">
        <f t="shared" si="38"/>
        <v>114</v>
      </c>
      <c r="C204" s="145" t="str">
        <f t="shared" si="39"/>
        <v>Jul 2016</v>
      </c>
      <c r="D204" s="166">
        <f t="shared" si="37"/>
        <v>-2159.378670254494</v>
      </c>
      <c r="E204" s="166">
        <f t="shared" si="37"/>
        <v>3306.2337552731324</v>
      </c>
      <c r="F204" s="166">
        <f t="shared" si="37"/>
        <v>5198839.8153488608</v>
      </c>
      <c r="G204" s="166">
        <f t="shared" si="37"/>
        <v>50574890.976408444</v>
      </c>
      <c r="H204" s="166">
        <f t="shared" si="37"/>
        <v>1678185.4497790541</v>
      </c>
      <c r="I204" s="166">
        <f t="shared" si="37"/>
        <v>581954.7512150777</v>
      </c>
      <c r="J204" s="166">
        <f t="shared" si="37"/>
        <v>-215873.41239250419</v>
      </c>
      <c r="K204" s="166">
        <f t="shared" si="37"/>
        <v>1.5620357466441646</v>
      </c>
      <c r="L204" s="166">
        <f t="shared" si="37"/>
        <v>2544.9691391013516</v>
      </c>
      <c r="M204" s="166">
        <f t="shared" si="37"/>
        <v>95080.15391177556</v>
      </c>
      <c r="N204" s="166">
        <f t="shared" si="40"/>
        <v>57916771.120530576</v>
      </c>
    </row>
    <row r="205" spans="2:14" x14ac:dyDescent="0.25">
      <c r="B205" s="130">
        <f t="shared" si="38"/>
        <v>115</v>
      </c>
      <c r="C205" s="145" t="str">
        <f t="shared" si="39"/>
        <v>Aug 2016</v>
      </c>
      <c r="D205" s="166">
        <f t="shared" si="37"/>
        <v>-677.98184966858321</v>
      </c>
      <c r="E205" s="166">
        <f t="shared" si="37"/>
        <v>14605.854221894129</v>
      </c>
      <c r="F205" s="166">
        <f t="shared" si="37"/>
        <v>-475501.19816308748</v>
      </c>
      <c r="G205" s="166">
        <f t="shared" si="37"/>
        <v>381847.86996344425</v>
      </c>
      <c r="H205" s="166">
        <f t="shared" si="37"/>
        <v>-3596104.4116138262</v>
      </c>
      <c r="I205" s="166">
        <f t="shared" si="37"/>
        <v>765430.25784707826</v>
      </c>
      <c r="J205" s="166">
        <f t="shared" si="37"/>
        <v>113945.81760614805</v>
      </c>
      <c r="K205" s="166">
        <f t="shared" si="37"/>
        <v>1.7008064568637375</v>
      </c>
      <c r="L205" s="166">
        <f t="shared" si="37"/>
        <v>-2887.0015126513454</v>
      </c>
      <c r="M205" s="166">
        <f t="shared" si="37"/>
        <v>-5590.0594931420683</v>
      </c>
      <c r="N205" s="166">
        <f t="shared" si="40"/>
        <v>-2804929.1521873544</v>
      </c>
    </row>
    <row r="206" spans="2:14" x14ac:dyDescent="0.25">
      <c r="B206" s="130">
        <f t="shared" si="38"/>
        <v>116</v>
      </c>
      <c r="C206" s="145" t="str">
        <f t="shared" si="39"/>
        <v>Sep 2016</v>
      </c>
      <c r="D206" s="166">
        <f t="shared" si="37"/>
        <v>-530.49725174199568</v>
      </c>
      <c r="E206" s="166">
        <f t="shared" si="37"/>
        <v>2192875.8030142374</v>
      </c>
      <c r="F206" s="166">
        <f t="shared" si="37"/>
        <v>396982.47925913567</v>
      </c>
      <c r="G206" s="166">
        <f t="shared" si="37"/>
        <v>3508538.9101254684</v>
      </c>
      <c r="H206" s="166">
        <f t="shared" si="37"/>
        <v>-1415937.3940826936</v>
      </c>
      <c r="I206" s="166">
        <f t="shared" si="37"/>
        <v>785362.75467268075</v>
      </c>
      <c r="J206" s="166">
        <f t="shared" si="37"/>
        <v>2058555.7756849942</v>
      </c>
      <c r="K206" s="166">
        <f t="shared" si="37"/>
        <v>2.1662765631707308</v>
      </c>
      <c r="L206" s="166">
        <f t="shared" si="37"/>
        <v>1086.920423545208</v>
      </c>
      <c r="M206" s="166">
        <f t="shared" si="37"/>
        <v>2437.8069590446494</v>
      </c>
      <c r="N206" s="166">
        <f t="shared" si="40"/>
        <v>7529374.7250812333</v>
      </c>
    </row>
    <row r="207" spans="2:14" x14ac:dyDescent="0.25">
      <c r="B207" s="130">
        <f t="shared" si="38"/>
        <v>117</v>
      </c>
      <c r="C207" s="145" t="str">
        <f t="shared" si="39"/>
        <v>Oct 2016</v>
      </c>
      <c r="D207" s="166">
        <f t="shared" si="37"/>
        <v>4.2221082136583586E-9</v>
      </c>
      <c r="E207" s="166">
        <f t="shared" si="37"/>
        <v>81908.163028279319</v>
      </c>
      <c r="F207" s="166">
        <f t="shared" si="37"/>
        <v>14919914.714360069</v>
      </c>
      <c r="G207" s="166">
        <f t="shared" si="37"/>
        <v>15421890.605295029</v>
      </c>
      <c r="H207" s="166">
        <f t="shared" si="37"/>
        <v>-3525067.3539146432</v>
      </c>
      <c r="I207" s="166">
        <f t="shared" si="37"/>
        <v>689009.07622808695</v>
      </c>
      <c r="J207" s="166">
        <f t="shared" si="37"/>
        <v>420357.06116735295</v>
      </c>
      <c r="K207" s="166">
        <f t="shared" si="37"/>
        <v>-15.844733589179338</v>
      </c>
      <c r="L207" s="166">
        <f t="shared" si="37"/>
        <v>-1991.10844930805</v>
      </c>
      <c r="M207" s="166">
        <f t="shared" si="37"/>
        <v>-26076.420937878494</v>
      </c>
      <c r="N207" s="166">
        <f t="shared" si="40"/>
        <v>27979928.892043404</v>
      </c>
    </row>
    <row r="208" spans="2:14" x14ac:dyDescent="0.25">
      <c r="B208" s="130">
        <f t="shared" si="38"/>
        <v>118</v>
      </c>
      <c r="C208" s="145" t="str">
        <f t="shared" si="39"/>
        <v>Nov 2016</v>
      </c>
      <c r="D208" s="166">
        <f t="shared" si="37"/>
        <v>0</v>
      </c>
      <c r="E208" s="166">
        <f t="shared" si="37"/>
        <v>9012.064008435329</v>
      </c>
      <c r="F208" s="166">
        <f t="shared" si="37"/>
        <v>2967784.0076919924</v>
      </c>
      <c r="G208" s="166">
        <f t="shared" si="37"/>
        <v>12365888.330336899</v>
      </c>
      <c r="H208" s="166">
        <f t="shared" si="37"/>
        <v>-12156986.878003307</v>
      </c>
      <c r="I208" s="166">
        <f t="shared" si="37"/>
        <v>780847.87280046917</v>
      </c>
      <c r="J208" s="166">
        <f t="shared" si="37"/>
        <v>-807010.68984580459</v>
      </c>
      <c r="K208" s="166">
        <f t="shared" si="37"/>
        <v>12.548804703169482</v>
      </c>
      <c r="L208" s="166">
        <f t="shared" si="37"/>
        <v>-13019.390133222496</v>
      </c>
      <c r="M208" s="166">
        <f t="shared" si="37"/>
        <v>-2689.3582364816989</v>
      </c>
      <c r="N208" s="166">
        <f t="shared" si="40"/>
        <v>3143838.5074236831</v>
      </c>
    </row>
    <row r="209" spans="2:14" x14ac:dyDescent="0.25">
      <c r="B209" s="130">
        <f t="shared" si="38"/>
        <v>119</v>
      </c>
      <c r="C209" s="145" t="str">
        <f t="shared" si="39"/>
        <v>Dec 2016</v>
      </c>
      <c r="D209" s="166">
        <f t="shared" si="37"/>
        <v>-2.8147388091055729E-9</v>
      </c>
      <c r="E209" s="166">
        <f t="shared" si="37"/>
        <v>1751.8469398152993</v>
      </c>
      <c r="F209" s="166">
        <f t="shared" si="37"/>
        <v>2117933.0701807123</v>
      </c>
      <c r="G209" s="166">
        <f t="shared" si="37"/>
        <v>19906268.4423167</v>
      </c>
      <c r="H209" s="166">
        <f t="shared" si="37"/>
        <v>-355800.25322569406</v>
      </c>
      <c r="I209" s="166">
        <f t="shared" si="37"/>
        <v>996131.10185671842</v>
      </c>
      <c r="J209" s="166">
        <f t="shared" si="37"/>
        <v>657104.8255993881</v>
      </c>
      <c r="K209" s="166">
        <f t="shared" si="37"/>
        <v>-1.9076805239105528</v>
      </c>
      <c r="L209" s="166">
        <f t="shared" si="37"/>
        <v>-1294.6281726652198</v>
      </c>
      <c r="M209" s="166">
        <f t="shared" si="37"/>
        <v>660926.46804881713</v>
      </c>
      <c r="N209" s="166">
        <f t="shared" si="40"/>
        <v>23983018.965863265</v>
      </c>
    </row>
    <row r="210" spans="2:14" x14ac:dyDescent="0.25">
      <c r="B210" s="130">
        <f t="shared" si="38"/>
        <v>120</v>
      </c>
      <c r="C210" s="136" t="s">
        <v>71</v>
      </c>
      <c r="D210" s="184">
        <f>SUM(D198:D209)</f>
        <v>-613135.06803948805</v>
      </c>
      <c r="E210" s="184">
        <f t="shared" ref="E210:M210" si="41">SUM(E198:E209)</f>
        <v>1642040.7908546329</v>
      </c>
      <c r="F210" s="184">
        <f t="shared" si="41"/>
        <v>61273835.841641903</v>
      </c>
      <c r="G210" s="184">
        <f t="shared" si="41"/>
        <v>173458893.34022427</v>
      </c>
      <c r="H210" s="184">
        <f t="shared" si="41"/>
        <v>17416247.0804739</v>
      </c>
      <c r="I210" s="184">
        <f t="shared" si="41"/>
        <v>10921982.973843902</v>
      </c>
      <c r="J210" s="184">
        <f t="shared" si="41"/>
        <v>7946106.0769548407</v>
      </c>
      <c r="K210" s="184">
        <f t="shared" si="41"/>
        <v>17.589315712451931</v>
      </c>
      <c r="L210" s="184">
        <f t="shared" si="41"/>
        <v>79982.025460585937</v>
      </c>
      <c r="M210" s="184">
        <f t="shared" si="41"/>
        <v>4264470.5216464698</v>
      </c>
      <c r="N210" s="195">
        <f t="shared" si="40"/>
        <v>276390441.17237675</v>
      </c>
    </row>
    <row r="212" spans="2:14" x14ac:dyDescent="0.25">
      <c r="C212" s="178" t="s">
        <v>81</v>
      </c>
    </row>
    <row r="213" spans="2:14" x14ac:dyDescent="0.25">
      <c r="C213" s="142" t="s">
        <v>82</v>
      </c>
      <c r="D213" s="142"/>
      <c r="E213" s="142"/>
      <c r="F213" s="142"/>
      <c r="G213" s="142"/>
      <c r="H213" s="142"/>
      <c r="I213" s="142"/>
      <c r="J213" s="142"/>
      <c r="K213" s="142"/>
      <c r="L213" s="142"/>
      <c r="M213" s="142"/>
    </row>
    <row r="214" spans="2:14" x14ac:dyDescent="0.25">
      <c r="C214" s="179" t="s">
        <v>83</v>
      </c>
      <c r="D214" s="142"/>
      <c r="E214" s="142"/>
      <c r="F214" s="142"/>
      <c r="G214" s="142"/>
      <c r="H214" s="142"/>
      <c r="I214" s="142"/>
      <c r="J214" s="142"/>
      <c r="K214" s="142"/>
      <c r="L214" s="142"/>
      <c r="M214" s="142"/>
      <c r="N214" s="142"/>
    </row>
    <row r="215" spans="2:14" x14ac:dyDescent="0.25">
      <c r="C215" s="180" t="s">
        <v>84</v>
      </c>
      <c r="D215" s="142"/>
      <c r="E215" s="142"/>
      <c r="F215" s="142"/>
      <c r="G215" s="142"/>
      <c r="H215" s="142"/>
      <c r="I215" s="142"/>
      <c r="J215" s="142"/>
      <c r="K215" s="142"/>
      <c r="L215" s="142"/>
      <c r="M215" s="142"/>
      <c r="N215" s="142"/>
    </row>
    <row r="216" spans="2:14" x14ac:dyDescent="0.25">
      <c r="C216" s="161" t="s">
        <v>85</v>
      </c>
      <c r="D216" s="142"/>
      <c r="E216" s="142"/>
      <c r="F216" s="142"/>
      <c r="G216" s="142"/>
      <c r="H216" s="142"/>
      <c r="I216" s="142"/>
      <c r="J216" s="142"/>
      <c r="K216" s="142"/>
      <c r="L216" s="142"/>
      <c r="M216" s="142"/>
      <c r="N216" s="142"/>
    </row>
    <row r="217" spans="2:14" x14ac:dyDescent="0.25">
      <c r="C217" s="161" t="s">
        <v>86</v>
      </c>
      <c r="D217" s="142"/>
      <c r="E217" s="142"/>
      <c r="F217" s="142"/>
      <c r="G217" s="142"/>
      <c r="H217" s="142"/>
      <c r="I217" s="142"/>
      <c r="J217" s="142"/>
      <c r="K217" s="142"/>
      <c r="L217" s="142"/>
      <c r="M217" s="142"/>
      <c r="N217" s="142"/>
    </row>
    <row r="218" spans="2:14" x14ac:dyDescent="0.25">
      <c r="C218" s="161" t="s">
        <v>87</v>
      </c>
      <c r="D218" s="142"/>
      <c r="E218" s="142"/>
      <c r="F218" s="142"/>
      <c r="G218" s="142"/>
      <c r="H218" s="142"/>
      <c r="I218" s="142"/>
      <c r="J218" s="142"/>
      <c r="K218" s="142"/>
      <c r="L218" s="142"/>
      <c r="M218" s="142"/>
      <c r="N218" s="142"/>
    </row>
    <row r="219" spans="2:14" x14ac:dyDescent="0.25">
      <c r="C219" s="142" t="s">
        <v>88</v>
      </c>
      <c r="D219" s="142"/>
      <c r="E219" s="142"/>
      <c r="F219" s="142"/>
      <c r="G219" s="142"/>
      <c r="H219" s="142"/>
      <c r="I219" s="142"/>
      <c r="J219" s="142"/>
      <c r="K219" s="142"/>
      <c r="L219" s="142"/>
      <c r="M219" s="142"/>
      <c r="N219" s="142"/>
    </row>
    <row r="220" spans="2:14" x14ac:dyDescent="0.25">
      <c r="C220" s="161" t="s">
        <v>89</v>
      </c>
      <c r="D220" s="142"/>
      <c r="E220" s="142"/>
      <c r="F220" s="142"/>
      <c r="G220" s="142"/>
      <c r="H220" s="142"/>
      <c r="I220" s="142"/>
      <c r="J220" s="142"/>
      <c r="K220" s="142"/>
      <c r="L220" s="142"/>
      <c r="M220" s="142"/>
      <c r="N220" s="142"/>
    </row>
    <row r="221" spans="2:14" x14ac:dyDescent="0.25">
      <c r="C221" s="161" t="s">
        <v>90</v>
      </c>
      <c r="D221" s="142"/>
      <c r="E221" s="142"/>
      <c r="F221" s="142"/>
      <c r="G221" s="142"/>
      <c r="H221" s="142"/>
      <c r="I221" s="142"/>
      <c r="J221" s="142"/>
      <c r="K221" s="142"/>
      <c r="L221" s="142"/>
      <c r="M221" s="142"/>
      <c r="N221" s="142"/>
    </row>
    <row r="222" spans="2:14" x14ac:dyDescent="0.25">
      <c r="C222" s="161" t="s">
        <v>91</v>
      </c>
      <c r="D222" s="142"/>
      <c r="E222" s="142"/>
      <c r="F222" s="142"/>
      <c r="G222" s="142"/>
      <c r="H222" s="142"/>
      <c r="I222" s="142"/>
      <c r="J222" s="142"/>
      <c r="K222" s="142"/>
      <c r="L222" s="142"/>
      <c r="M222" s="142"/>
      <c r="N222" s="142"/>
    </row>
    <row r="223" spans="2:14" x14ac:dyDescent="0.25">
      <c r="C223" s="142" t="str">
        <f>"2) Amounts on Line "&amp;B36&amp;" must match 6-Plant Study amounts for Distribution Plant - ISO for previous year."</f>
        <v>2) Amounts on Line 15 must match 6-Plant Study amounts for Distribution Plant - ISO for previous year.</v>
      </c>
      <c r="D223" s="142"/>
      <c r="E223" s="142"/>
      <c r="F223" s="142"/>
      <c r="G223" s="142"/>
      <c r="H223" s="142"/>
      <c r="I223" s="142"/>
      <c r="J223" s="142"/>
      <c r="K223" s="142"/>
      <c r="L223" s="142"/>
      <c r="M223" s="142"/>
    </row>
    <row r="224" spans="2:14" x14ac:dyDescent="0.25">
      <c r="C224" s="161" t="str">
        <f>"Amounts on Line "&amp;B37&amp;" must match amounts on 6-PlantStudy for Distribution Plant - ISO."</f>
        <v>Amounts on Line 16 must match amounts on 6-PlantStudy for Distribution Plant - ISO.</v>
      </c>
      <c r="D224" s="142"/>
      <c r="E224" s="142"/>
      <c r="F224" s="142"/>
      <c r="G224" s="142"/>
      <c r="H224" s="142"/>
      <c r="I224" s="142"/>
      <c r="J224" s="142"/>
      <c r="K224" s="142"/>
      <c r="L224" s="142"/>
      <c r="M224" s="142"/>
    </row>
    <row r="225" spans="3:13" x14ac:dyDescent="0.25">
      <c r="C225" s="181" t="s">
        <v>92</v>
      </c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</row>
    <row r="226" spans="3:13" x14ac:dyDescent="0.25">
      <c r="C226" s="142" t="s">
        <v>93</v>
      </c>
      <c r="D226" s="142"/>
      <c r="E226" s="142"/>
      <c r="F226" s="142"/>
      <c r="G226" s="142"/>
      <c r="H226" s="142"/>
      <c r="I226" s="142"/>
      <c r="J226" s="142"/>
      <c r="K226" s="142"/>
      <c r="L226" s="142"/>
      <c r="M226" s="142"/>
    </row>
    <row r="227" spans="3:13" x14ac:dyDescent="0.25">
      <c r="C227" s="142" t="s">
        <v>94</v>
      </c>
      <c r="D227" s="142"/>
      <c r="E227" s="142"/>
      <c r="F227" s="142"/>
      <c r="G227" s="142"/>
      <c r="H227" s="142"/>
      <c r="I227" s="142"/>
      <c r="J227" s="142"/>
      <c r="K227" s="142"/>
      <c r="L227" s="142"/>
      <c r="M227" s="142"/>
    </row>
    <row r="228" spans="3:13" x14ac:dyDescent="0.25">
      <c r="C228" s="142" t="s">
        <v>231</v>
      </c>
      <c r="D228" s="142"/>
      <c r="E228" s="142"/>
      <c r="F228" s="142"/>
      <c r="G228" s="142"/>
      <c r="H228" s="142"/>
      <c r="I228" s="142"/>
      <c r="J228" s="142"/>
      <c r="K228" s="142"/>
      <c r="L228" s="142"/>
      <c r="M228" s="142"/>
    </row>
    <row r="229" spans="3:13" x14ac:dyDescent="0.25">
      <c r="C229" s="161" t="s">
        <v>95</v>
      </c>
      <c r="D229" s="142"/>
      <c r="E229" s="142"/>
      <c r="F229" s="142"/>
      <c r="G229" s="142"/>
      <c r="H229" s="142"/>
      <c r="I229" s="142"/>
      <c r="J229" s="142"/>
      <c r="K229" s="142"/>
      <c r="L229" s="142"/>
      <c r="M229" s="142"/>
    </row>
    <row r="230" spans="3:13" x14ac:dyDescent="0.25">
      <c r="C230" s="121" t="s">
        <v>96</v>
      </c>
      <c r="D230" s="142"/>
      <c r="E230" s="142"/>
      <c r="F230" s="142"/>
      <c r="G230" s="142"/>
      <c r="H230" s="142"/>
      <c r="I230" s="142"/>
      <c r="J230" s="142"/>
      <c r="K230" s="142"/>
      <c r="L230" s="142"/>
      <c r="M230" s="142"/>
    </row>
    <row r="231" spans="3:13" x14ac:dyDescent="0.25">
      <c r="C231" s="121" t="s">
        <v>97</v>
      </c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</row>
    <row r="232" spans="3:13" x14ac:dyDescent="0.25">
      <c r="C232" s="121" t="str">
        <f>"9) Amount on Line "&amp;B25&amp;" less amount on Line "&amp;B13&amp;" for each account."</f>
        <v>9) Amount on Line 13 less amount on Line 1 for each account.</v>
      </c>
      <c r="D232" s="142"/>
      <c r="E232" s="142"/>
      <c r="F232" s="142"/>
      <c r="G232" s="142"/>
      <c r="H232" s="142"/>
      <c r="I232" s="142"/>
      <c r="J232" s="142"/>
      <c r="K232" s="142"/>
      <c r="L232" s="142"/>
      <c r="M232" s="142"/>
    </row>
    <row r="233" spans="3:13" x14ac:dyDescent="0.25">
      <c r="C233" s="121" t="str">
        <f>"10) Line "&amp;B144&amp;""</f>
        <v>10) Line 79</v>
      </c>
      <c r="D233" s="142"/>
      <c r="E233" s="142"/>
      <c r="F233" s="142"/>
      <c r="G233" s="142"/>
      <c r="H233" s="142"/>
      <c r="I233" s="142"/>
      <c r="J233" s="142"/>
      <c r="K233" s="142"/>
      <c r="L233" s="142"/>
      <c r="M233" s="142"/>
    </row>
    <row r="234" spans="3:13" x14ac:dyDescent="0.25">
      <c r="C234" s="121" t="str">
        <f>"11) Amount on Line "&amp;B184&amp;" less amount on Line "&amp;B188&amp;" for each account."</f>
        <v>11) Amount on Line 105 less amount on Line 106 for each account.</v>
      </c>
      <c r="D234" s="142"/>
      <c r="E234" s="142"/>
      <c r="F234" s="142"/>
      <c r="G234" s="142"/>
      <c r="H234" s="142"/>
      <c r="I234" s="142"/>
      <c r="J234" s="142"/>
      <c r="K234" s="142"/>
      <c r="L234" s="142"/>
      <c r="M234" s="142"/>
    </row>
    <row r="235" spans="3:13" x14ac:dyDescent="0.25">
      <c r="C235" s="142" t="str">
        <f>"9) For each column (FERC Account) divide Line "&amp;B192&amp;" by Line "&amp;B163&amp;" to arrive at a ratio for each column."</f>
        <v>9) For each column (FERC Account) divide Line 107 by Line 92 to arrive at a ratio for each column.</v>
      </c>
    </row>
    <row r="236" spans="3:13" x14ac:dyDescent="0.25">
      <c r="C236" s="161" t="str">
        <f>"Apply the ratio of each column to each monthly value from Lines "&amp;B151&amp;"-"&amp;B162&amp;" to calculate the values for"</f>
        <v>Apply the ratio of each column to each monthly value from Lines 80-91 to calculate the values for</v>
      </c>
    </row>
    <row r="237" spans="3:13" x14ac:dyDescent="0.25">
      <c r="C237" s="161" t="str">
        <f>"the corresponsing months listed in Lines "&amp;B198&amp;"-"&amp;B209&amp;"."</f>
        <v>the corresponsing months listed in Lines 108-119.</v>
      </c>
    </row>
  </sheetData>
  <pageMargins left="0.75" right="0.75" top="1" bottom="1" header="0.5" footer="0.5"/>
  <pageSetup scale="70" orientation="landscape" cellComments="asDisplayed" r:id="rId1"/>
  <headerFooter alignWithMargins="0">
    <oddHeader>&amp;CSchedule 6
Plant In Service
&amp;RTO10 Annual Update
Attachment 1</oddHeader>
    <oddFooter>&amp;R&amp;A</oddFooter>
  </headerFooter>
  <rowBreaks count="3" manualBreakCount="3">
    <brk id="39" max="16383" man="1"/>
    <brk id="88" max="16383" man="1"/>
    <brk id="1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X156"/>
  <sheetViews>
    <sheetView showGridLines="0" topLeftCell="A139" zoomScaleNormal="100" workbookViewId="0">
      <selection activeCell="L11" sqref="L11"/>
    </sheetView>
  </sheetViews>
  <sheetFormatPr defaultRowHeight="15" x14ac:dyDescent="0.25"/>
  <cols>
    <col min="1" max="1" width="9.140625" style="121"/>
    <col min="2" max="2" width="4.7109375" style="121" customWidth="1"/>
    <col min="3" max="3" width="7.7109375" style="121" customWidth="1"/>
    <col min="4" max="4" width="10.7109375" style="121" customWidth="1"/>
    <col min="5" max="5" width="13.7109375" style="121" customWidth="1"/>
    <col min="6" max="7" width="14.7109375" style="121" customWidth="1"/>
    <col min="8" max="11" width="13.7109375" style="121" customWidth="1"/>
    <col min="12" max="12" width="12.42578125" style="121" customWidth="1"/>
    <col min="13" max="13" width="11.7109375" style="121" customWidth="1"/>
    <col min="14" max="14" width="13.7109375" style="121" customWidth="1"/>
    <col min="15" max="15" width="14.7109375" style="121" customWidth="1"/>
    <col min="16" max="16" width="13.7109375" style="142" customWidth="1"/>
    <col min="17" max="24" width="9.140625" style="142"/>
    <col min="25" max="16384" width="9.140625" style="121"/>
  </cols>
  <sheetData>
    <row r="2" spans="2:19" x14ac:dyDescent="0.25">
      <c r="B2" s="121" t="s">
        <v>234</v>
      </c>
    </row>
    <row r="3" spans="2:19" s="142" customFormat="1" ht="15.75" thickBot="1" x14ac:dyDescent="0.3">
      <c r="B3" s="224" t="s">
        <v>146</v>
      </c>
      <c r="C3" s="225"/>
      <c r="D3" s="182"/>
      <c r="E3" s="182"/>
      <c r="F3" s="182"/>
      <c r="G3" s="182"/>
      <c r="H3" s="118"/>
      <c r="I3" s="118"/>
      <c r="J3" s="118"/>
      <c r="K3" s="119" t="s">
        <v>145</v>
      </c>
      <c r="L3" s="119"/>
      <c r="M3" s="118"/>
      <c r="N3" s="118"/>
      <c r="O3" s="118"/>
      <c r="P3" s="141"/>
      <c r="Q3" s="141"/>
      <c r="R3" s="141"/>
      <c r="S3" s="141"/>
    </row>
    <row r="4" spans="2:19" s="142" customFormat="1" x14ac:dyDescent="0.25">
      <c r="B4" s="118"/>
      <c r="C4" s="118"/>
      <c r="D4" s="118"/>
      <c r="E4" s="118"/>
      <c r="F4" s="118"/>
      <c r="G4" s="118"/>
      <c r="H4" s="118"/>
      <c r="I4" s="118"/>
      <c r="J4" s="118"/>
      <c r="K4" s="121"/>
      <c r="L4" s="121"/>
      <c r="M4" s="118"/>
      <c r="N4" s="118"/>
      <c r="O4" s="118"/>
      <c r="P4" s="141"/>
      <c r="Q4" s="141"/>
      <c r="R4" s="141"/>
      <c r="S4" s="141"/>
    </row>
    <row r="5" spans="2:19" s="142" customFormat="1" x14ac:dyDescent="0.25">
      <c r="B5" s="118"/>
      <c r="C5" s="140" t="s">
        <v>144</v>
      </c>
      <c r="D5" s="118"/>
      <c r="E5" s="118"/>
      <c r="F5" s="118"/>
      <c r="G5" s="118"/>
      <c r="H5" s="122" t="s">
        <v>4</v>
      </c>
      <c r="I5" s="169">
        <v>2016</v>
      </c>
      <c r="J5" s="118"/>
      <c r="K5" s="118"/>
      <c r="L5" s="118"/>
      <c r="M5" s="118"/>
      <c r="N5" s="118"/>
      <c r="O5" s="118"/>
      <c r="P5" s="141"/>
      <c r="Q5" s="141"/>
      <c r="R5" s="141"/>
      <c r="S5" s="141"/>
    </row>
    <row r="6" spans="2:19" s="142" customFormat="1" x14ac:dyDescent="0.25"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41"/>
      <c r="Q6" s="141"/>
      <c r="R6" s="141"/>
      <c r="S6" s="141"/>
    </row>
    <row r="7" spans="2:19" s="142" customFormat="1" x14ac:dyDescent="0.25">
      <c r="B7" s="118"/>
      <c r="C7" s="118"/>
      <c r="D7" s="121" t="s">
        <v>143</v>
      </c>
      <c r="E7" s="118"/>
      <c r="F7" s="118"/>
      <c r="G7" s="118"/>
      <c r="H7" s="118"/>
      <c r="I7" s="118"/>
      <c r="J7" s="118"/>
      <c r="K7" s="121"/>
      <c r="L7" s="118"/>
      <c r="M7" s="118"/>
      <c r="N7" s="118"/>
      <c r="O7" s="118"/>
      <c r="P7" s="141"/>
      <c r="Q7" s="141"/>
      <c r="R7" s="141"/>
      <c r="S7" s="141"/>
    </row>
    <row r="8" spans="2:19" s="142" customFormat="1" x14ac:dyDescent="0.25"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41"/>
      <c r="Q8" s="141"/>
      <c r="R8" s="141"/>
      <c r="S8" s="141"/>
    </row>
    <row r="9" spans="2:19" s="142" customFormat="1" x14ac:dyDescent="0.25">
      <c r="B9" s="118"/>
      <c r="C9" s="118"/>
      <c r="D9" s="129" t="s">
        <v>5</v>
      </c>
      <c r="E9" s="129" t="s">
        <v>6</v>
      </c>
      <c r="F9" s="129" t="s">
        <v>7</v>
      </c>
      <c r="G9" s="129" t="s">
        <v>8</v>
      </c>
      <c r="H9" s="129" t="s">
        <v>9</v>
      </c>
      <c r="I9" s="129" t="s">
        <v>10</v>
      </c>
      <c r="J9" s="129" t="s">
        <v>11</v>
      </c>
      <c r="K9" s="129" t="s">
        <v>12</v>
      </c>
      <c r="L9" s="129" t="s">
        <v>13</v>
      </c>
      <c r="M9" s="129" t="s">
        <v>14</v>
      </c>
      <c r="N9" s="129" t="s">
        <v>15</v>
      </c>
      <c r="O9" s="129" t="s">
        <v>16</v>
      </c>
      <c r="P9" s="141"/>
      <c r="Q9" s="141"/>
      <c r="R9" s="141"/>
      <c r="S9" s="141"/>
    </row>
    <row r="10" spans="2:19" s="142" customFormat="1" x14ac:dyDescent="0.25">
      <c r="B10" s="118"/>
      <c r="C10" s="118"/>
      <c r="D10" s="126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96" t="s">
        <v>142</v>
      </c>
      <c r="P10" s="141"/>
      <c r="Q10" s="141"/>
      <c r="R10" s="141"/>
      <c r="S10" s="141"/>
    </row>
    <row r="11" spans="2:19" s="142" customFormat="1" x14ac:dyDescent="0.25">
      <c r="B11" s="118"/>
      <c r="C11" s="118"/>
      <c r="D11" s="125"/>
      <c r="E11" s="197" t="s">
        <v>139</v>
      </c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41"/>
      <c r="Q11" s="141"/>
      <c r="R11" s="141"/>
      <c r="S11" s="141"/>
    </row>
    <row r="12" spans="2:19" s="142" customFormat="1" x14ac:dyDescent="0.25">
      <c r="B12" s="118"/>
      <c r="C12" s="118"/>
      <c r="D12" s="127"/>
      <c r="E12" s="197" t="s">
        <v>137</v>
      </c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41"/>
      <c r="Q12" s="141"/>
      <c r="R12" s="141"/>
      <c r="S12" s="141"/>
    </row>
    <row r="13" spans="2:19" s="142" customFormat="1" ht="12.75" customHeight="1" x14ac:dyDescent="0.25">
      <c r="B13" s="213" t="s">
        <v>18</v>
      </c>
      <c r="C13" s="217"/>
      <c r="D13" s="214" t="s">
        <v>19</v>
      </c>
      <c r="E13" s="215">
        <v>350.1</v>
      </c>
      <c r="F13" s="215">
        <v>350.2</v>
      </c>
      <c r="G13" s="215">
        <v>352</v>
      </c>
      <c r="H13" s="215">
        <v>353</v>
      </c>
      <c r="I13" s="215">
        <v>354</v>
      </c>
      <c r="J13" s="215">
        <v>355</v>
      </c>
      <c r="K13" s="215">
        <v>356</v>
      </c>
      <c r="L13" s="215">
        <v>357</v>
      </c>
      <c r="M13" s="215">
        <v>358</v>
      </c>
      <c r="N13" s="215">
        <v>359</v>
      </c>
      <c r="O13" s="216" t="s">
        <v>20</v>
      </c>
      <c r="P13" s="141"/>
      <c r="Q13" s="141"/>
      <c r="R13" s="141"/>
      <c r="S13" s="141"/>
    </row>
    <row r="14" spans="2:19" s="142" customFormat="1" ht="12.75" customHeight="1" x14ac:dyDescent="0.25">
      <c r="B14" s="130">
        <v>1</v>
      </c>
      <c r="C14" s="130"/>
      <c r="D14" s="136" t="s">
        <v>21</v>
      </c>
      <c r="E14" s="212">
        <v>0</v>
      </c>
      <c r="F14" s="212">
        <f>'Trans Plant-Rsrve Act'!E55+'Trans Plant-Rsrve Act'!D55</f>
        <v>15448962.530060295</v>
      </c>
      <c r="G14" s="212">
        <f>'Trans Plant-Rsrve Act'!F55</f>
        <v>62849620.458912924</v>
      </c>
      <c r="H14" s="212">
        <f>'Trans Plant-Rsrve Act'!G55</f>
        <v>372512107.11317867</v>
      </c>
      <c r="I14" s="212">
        <f>'Trans Plant-Rsrve Act'!H55</f>
        <v>406863963.81291598</v>
      </c>
      <c r="J14" s="212">
        <f>'Trans Plant-Rsrve Act'!I55</f>
        <v>46334041.093138769</v>
      </c>
      <c r="K14" s="212">
        <f>'Trans Plant-Rsrve Act'!J55</f>
        <v>386000140.09468102</v>
      </c>
      <c r="L14" s="212">
        <f>'Trans Plant-Rsrve Act'!K55</f>
        <v>132074.21772594441</v>
      </c>
      <c r="M14" s="212">
        <f>'Trans Plant-Rsrve Act'!L55</f>
        <v>1627344.7828261124</v>
      </c>
      <c r="N14" s="212">
        <f>'Trans Plant-Rsrve Act'!M55</f>
        <v>13852616.302390257</v>
      </c>
      <c r="O14" s="133">
        <f t="shared" ref="O14:O27" si="0">SUM(E14:N14)</f>
        <v>1305620870.4058301</v>
      </c>
      <c r="P14" s="141"/>
      <c r="Q14" s="141"/>
      <c r="R14" s="141"/>
      <c r="S14" s="141"/>
    </row>
    <row r="15" spans="2:19" s="142" customFormat="1" ht="12.75" customHeight="1" x14ac:dyDescent="0.25">
      <c r="B15" s="130">
        <f t="shared" ref="B15:B27" si="1">B14+1</f>
        <v>2</v>
      </c>
      <c r="C15" s="130"/>
      <c r="D15" s="134" t="s">
        <v>22</v>
      </c>
      <c r="E15" s="135">
        <f t="shared" ref="E15:E25" si="2">E14+E72+E121</f>
        <v>0</v>
      </c>
      <c r="F15" s="135">
        <f t="shared" ref="F15:F25" si="3">F14+F72+F121</f>
        <v>15673665.429913394</v>
      </c>
      <c r="G15" s="135">
        <f t="shared" ref="G15:G25" si="4">G14+G72+G121</f>
        <v>63472310.211854421</v>
      </c>
      <c r="H15" s="135">
        <f t="shared" ref="H15:H25" si="5">H14+H72+H121</f>
        <v>378290323.70596188</v>
      </c>
      <c r="I15" s="135">
        <f t="shared" ref="I15:I25" si="6">I14+I72+I121</f>
        <v>406578952.05305976</v>
      </c>
      <c r="J15" s="135">
        <f t="shared" ref="J15:J25" si="7">J14+J72+J121</f>
        <v>46502638.965403341</v>
      </c>
      <c r="K15" s="135">
        <f t="shared" ref="K15:K25" si="8">K14+K72+K121</f>
        <v>383943843.53222626</v>
      </c>
      <c r="L15" s="135">
        <f t="shared" ref="L15:L25" si="9">L14+L72+L121</f>
        <v>126506.95291535814</v>
      </c>
      <c r="M15" s="135">
        <f t="shared" ref="M15:M25" si="10">M14+M72+M121</f>
        <v>1673996.5050226382</v>
      </c>
      <c r="N15" s="135">
        <f t="shared" ref="N15:N25" si="11">N14+N72+N121</f>
        <v>14100948.971993208</v>
      </c>
      <c r="O15" s="133">
        <f t="shared" si="0"/>
        <v>1310363186.3283503</v>
      </c>
      <c r="P15" s="141"/>
      <c r="Q15" s="141"/>
      <c r="R15" s="141"/>
      <c r="S15" s="141"/>
    </row>
    <row r="16" spans="2:19" s="142" customFormat="1" ht="12.75" customHeight="1" x14ac:dyDescent="0.25">
      <c r="B16" s="130">
        <f t="shared" si="1"/>
        <v>3</v>
      </c>
      <c r="C16" s="130"/>
      <c r="D16" s="136" t="s">
        <v>23</v>
      </c>
      <c r="E16" s="135">
        <f t="shared" si="2"/>
        <v>0</v>
      </c>
      <c r="F16" s="135">
        <f t="shared" si="3"/>
        <v>15899445.183654008</v>
      </c>
      <c r="G16" s="135">
        <f t="shared" si="4"/>
        <v>64436936.056382909</v>
      </c>
      <c r="H16" s="135">
        <f t="shared" si="5"/>
        <v>384317547.26414639</v>
      </c>
      <c r="I16" s="135">
        <f t="shared" si="6"/>
        <v>410941475.07473952</v>
      </c>
      <c r="J16" s="135">
        <f t="shared" si="7"/>
        <v>46603053.449722014</v>
      </c>
      <c r="K16" s="135">
        <f t="shared" si="8"/>
        <v>386970193.9438104</v>
      </c>
      <c r="L16" s="135">
        <f t="shared" si="9"/>
        <v>126967.63940400058</v>
      </c>
      <c r="M16" s="135">
        <f t="shared" si="10"/>
        <v>1716258.5835502099</v>
      </c>
      <c r="N16" s="135">
        <f t="shared" si="11"/>
        <v>14343863.341722</v>
      </c>
      <c r="O16" s="133">
        <f t="shared" si="0"/>
        <v>1325355740.5371315</v>
      </c>
      <c r="P16" s="141"/>
      <c r="Q16" s="141"/>
      <c r="R16" s="141"/>
      <c r="S16" s="141"/>
    </row>
    <row r="17" spans="2:19" s="142" customFormat="1" ht="12.75" customHeight="1" x14ac:dyDescent="0.25">
      <c r="B17" s="130">
        <f t="shared" si="1"/>
        <v>4</v>
      </c>
      <c r="C17" s="130"/>
      <c r="D17" s="136" t="s">
        <v>24</v>
      </c>
      <c r="E17" s="135">
        <f t="shared" si="2"/>
        <v>0</v>
      </c>
      <c r="F17" s="135">
        <f t="shared" si="3"/>
        <v>16121589.904982436</v>
      </c>
      <c r="G17" s="135">
        <f t="shared" si="4"/>
        <v>65114956.749758355</v>
      </c>
      <c r="H17" s="135">
        <f t="shared" si="5"/>
        <v>389599052.17962521</v>
      </c>
      <c r="I17" s="135">
        <f t="shared" si="6"/>
        <v>414759392.30756003</v>
      </c>
      <c r="J17" s="135">
        <f t="shared" si="7"/>
        <v>45534269.664215744</v>
      </c>
      <c r="K17" s="135">
        <f t="shared" si="8"/>
        <v>384815191.65664142</v>
      </c>
      <c r="L17" s="135">
        <f t="shared" si="9"/>
        <v>127101.84038545152</v>
      </c>
      <c r="M17" s="135">
        <f t="shared" si="10"/>
        <v>1762153.7385496767</v>
      </c>
      <c r="N17" s="135">
        <f t="shared" si="11"/>
        <v>13560313.808143696</v>
      </c>
      <c r="O17" s="133">
        <f t="shared" si="0"/>
        <v>1331394021.8498621</v>
      </c>
      <c r="P17" s="141"/>
      <c r="Q17" s="141"/>
      <c r="R17" s="141"/>
      <c r="S17" s="141"/>
    </row>
    <row r="18" spans="2:19" s="142" customFormat="1" ht="12.75" customHeight="1" x14ac:dyDescent="0.25">
      <c r="B18" s="130">
        <f t="shared" si="1"/>
        <v>5</v>
      </c>
      <c r="C18" s="130"/>
      <c r="D18" s="134" t="s">
        <v>25</v>
      </c>
      <c r="E18" s="135">
        <f t="shared" si="2"/>
        <v>0</v>
      </c>
      <c r="F18" s="135">
        <f t="shared" si="3"/>
        <v>16347075.477016451</v>
      </c>
      <c r="G18" s="135">
        <f t="shared" si="4"/>
        <v>65230047.863333933</v>
      </c>
      <c r="H18" s="135">
        <f t="shared" si="5"/>
        <v>395343554.08804834</v>
      </c>
      <c r="I18" s="135">
        <f t="shared" si="6"/>
        <v>420136964.87395519</v>
      </c>
      <c r="J18" s="135">
        <f t="shared" si="7"/>
        <v>45445159.046234183</v>
      </c>
      <c r="K18" s="135">
        <f t="shared" si="8"/>
        <v>388110773.33619636</v>
      </c>
      <c r="L18" s="135">
        <f t="shared" si="9"/>
        <v>112846.23307070542</v>
      </c>
      <c r="M18" s="135">
        <f t="shared" si="10"/>
        <v>1826923.9796213827</v>
      </c>
      <c r="N18" s="135">
        <f t="shared" si="11"/>
        <v>13758659.827432731</v>
      </c>
      <c r="O18" s="133">
        <f t="shared" si="0"/>
        <v>1346312004.7249091</v>
      </c>
      <c r="P18" s="141"/>
      <c r="Q18" s="141"/>
      <c r="R18" s="141"/>
      <c r="S18" s="141"/>
    </row>
    <row r="19" spans="2:19" s="142" customFormat="1" ht="12.75" customHeight="1" x14ac:dyDescent="0.25">
      <c r="B19" s="130">
        <f t="shared" si="1"/>
        <v>6</v>
      </c>
      <c r="C19" s="130"/>
      <c r="D19" s="136" t="s">
        <v>26</v>
      </c>
      <c r="E19" s="135">
        <f t="shared" si="2"/>
        <v>0</v>
      </c>
      <c r="F19" s="135">
        <f t="shared" si="3"/>
        <v>16572477.165600713</v>
      </c>
      <c r="G19" s="135">
        <f t="shared" si="4"/>
        <v>66255001.213848181</v>
      </c>
      <c r="H19" s="135">
        <f t="shared" si="5"/>
        <v>401621309.69598895</v>
      </c>
      <c r="I19" s="135">
        <f t="shared" si="6"/>
        <v>422324239.72834069</v>
      </c>
      <c r="J19" s="135">
        <f t="shared" si="7"/>
        <v>45720411.633134179</v>
      </c>
      <c r="K19" s="135">
        <f t="shared" si="8"/>
        <v>391014054.59445482</v>
      </c>
      <c r="L19" s="135">
        <f t="shared" si="9"/>
        <v>111648.89540527576</v>
      </c>
      <c r="M19" s="135">
        <f t="shared" si="10"/>
        <v>1878838.8662007751</v>
      </c>
      <c r="N19" s="135">
        <f t="shared" si="11"/>
        <v>13888707.940344468</v>
      </c>
      <c r="O19" s="133">
        <f t="shared" si="0"/>
        <v>1359386689.7333181</v>
      </c>
      <c r="P19" s="141"/>
      <c r="Q19" s="141"/>
      <c r="R19" s="141"/>
      <c r="S19" s="141"/>
    </row>
    <row r="20" spans="2:19" s="142" customFormat="1" ht="12.75" customHeight="1" x14ac:dyDescent="0.25">
      <c r="B20" s="130">
        <f t="shared" si="1"/>
        <v>7</v>
      </c>
      <c r="C20" s="130"/>
      <c r="D20" s="136" t="s">
        <v>27</v>
      </c>
      <c r="E20" s="135">
        <f t="shared" si="2"/>
        <v>0</v>
      </c>
      <c r="F20" s="135">
        <f t="shared" si="3"/>
        <v>16837350.192051135</v>
      </c>
      <c r="G20" s="135">
        <f t="shared" si="4"/>
        <v>67088851.065791219</v>
      </c>
      <c r="H20" s="135">
        <f t="shared" si="5"/>
        <v>406298143.40115541</v>
      </c>
      <c r="I20" s="135">
        <f t="shared" si="6"/>
        <v>443929529.84146678</v>
      </c>
      <c r="J20" s="135">
        <f t="shared" si="7"/>
        <v>45202517.598103225</v>
      </c>
      <c r="K20" s="135">
        <f t="shared" si="8"/>
        <v>393270413.47417766</v>
      </c>
      <c r="L20" s="135">
        <f t="shared" si="9"/>
        <v>91612.729531571778</v>
      </c>
      <c r="M20" s="135">
        <f t="shared" si="10"/>
        <v>1994290.4354106504</v>
      </c>
      <c r="N20" s="135">
        <f t="shared" si="11"/>
        <v>13794379.663978351</v>
      </c>
      <c r="O20" s="133">
        <f t="shared" si="0"/>
        <v>1388507088.4016659</v>
      </c>
      <c r="P20" s="141"/>
      <c r="Q20" s="141"/>
      <c r="R20" s="141"/>
      <c r="S20" s="141"/>
    </row>
    <row r="21" spans="2:19" s="142" customFormat="1" ht="12.75" customHeight="1" x14ac:dyDescent="0.25">
      <c r="B21" s="130">
        <f t="shared" si="1"/>
        <v>8</v>
      </c>
      <c r="C21" s="130"/>
      <c r="D21" s="134" t="s">
        <v>28</v>
      </c>
      <c r="E21" s="135">
        <f t="shared" si="2"/>
        <v>0</v>
      </c>
      <c r="F21" s="135">
        <f t="shared" si="3"/>
        <v>17062638.582718786</v>
      </c>
      <c r="G21" s="135">
        <f t="shared" si="4"/>
        <v>67874405.18666327</v>
      </c>
      <c r="H21" s="135">
        <f t="shared" si="5"/>
        <v>409844806.64933783</v>
      </c>
      <c r="I21" s="135">
        <f t="shared" si="6"/>
        <v>448916459.80859262</v>
      </c>
      <c r="J21" s="135">
        <f t="shared" si="7"/>
        <v>45541270.058575228</v>
      </c>
      <c r="K21" s="135">
        <f t="shared" si="8"/>
        <v>396881906.93117452</v>
      </c>
      <c r="L21" s="135">
        <f t="shared" si="9"/>
        <v>88112.983709118576</v>
      </c>
      <c r="M21" s="135">
        <f t="shared" si="10"/>
        <v>2045878.6962595806</v>
      </c>
      <c r="N21" s="135">
        <f t="shared" si="11"/>
        <v>14003062.232806548</v>
      </c>
      <c r="O21" s="133">
        <f t="shared" si="0"/>
        <v>1402258541.1298375</v>
      </c>
      <c r="P21" s="141"/>
      <c r="Q21" s="141"/>
      <c r="R21" s="141"/>
      <c r="S21" s="141"/>
    </row>
    <row r="22" spans="2:19" s="142" customFormat="1" ht="12.75" customHeight="1" x14ac:dyDescent="0.25">
      <c r="B22" s="130">
        <f t="shared" si="1"/>
        <v>9</v>
      </c>
      <c r="C22" s="130"/>
      <c r="D22" s="136" t="s">
        <v>29</v>
      </c>
      <c r="E22" s="135">
        <f t="shared" si="2"/>
        <v>0</v>
      </c>
      <c r="F22" s="135">
        <f t="shared" si="3"/>
        <v>17287349.146198303</v>
      </c>
      <c r="G22" s="135">
        <f t="shared" si="4"/>
        <v>68973276.006381765</v>
      </c>
      <c r="H22" s="135">
        <f t="shared" si="5"/>
        <v>416349786.49390376</v>
      </c>
      <c r="I22" s="135">
        <f t="shared" si="6"/>
        <v>452360838.91859466</v>
      </c>
      <c r="J22" s="135">
        <f t="shared" si="7"/>
        <v>45681841.206045792</v>
      </c>
      <c r="K22" s="135">
        <f t="shared" si="8"/>
        <v>399819186.64161426</v>
      </c>
      <c r="L22" s="135">
        <f t="shared" si="9"/>
        <v>84275.274704614567</v>
      </c>
      <c r="M22" s="135">
        <f t="shared" si="10"/>
        <v>2091628.4169201714</v>
      </c>
      <c r="N22" s="135">
        <f t="shared" si="11"/>
        <v>14255660.36236164</v>
      </c>
      <c r="O22" s="133">
        <f t="shared" si="0"/>
        <v>1416903842.4667251</v>
      </c>
      <c r="P22" s="141"/>
      <c r="Q22" s="141"/>
      <c r="R22" s="141"/>
      <c r="S22" s="141"/>
    </row>
    <row r="23" spans="2:19" s="142" customFormat="1" ht="12.75" customHeight="1" x14ac:dyDescent="0.25">
      <c r="B23" s="130">
        <f t="shared" si="1"/>
        <v>10</v>
      </c>
      <c r="C23" s="130"/>
      <c r="D23" s="136" t="s">
        <v>141</v>
      </c>
      <c r="E23" s="135">
        <f t="shared" si="2"/>
        <v>0</v>
      </c>
      <c r="F23" s="135">
        <f t="shared" si="3"/>
        <v>17398868.639389597</v>
      </c>
      <c r="G23" s="135">
        <f t="shared" si="4"/>
        <v>70025209.67863518</v>
      </c>
      <c r="H23" s="135">
        <f t="shared" si="5"/>
        <v>422677404.4421019</v>
      </c>
      <c r="I23" s="135">
        <f t="shared" si="6"/>
        <v>456476380.92532843</v>
      </c>
      <c r="J23" s="135">
        <f t="shared" si="7"/>
        <v>45802453.393417969</v>
      </c>
      <c r="K23" s="135">
        <f t="shared" si="8"/>
        <v>398765368.62389296</v>
      </c>
      <c r="L23" s="135">
        <f t="shared" si="9"/>
        <v>79303.951602193076</v>
      </c>
      <c r="M23" s="135">
        <f t="shared" si="10"/>
        <v>2141644.8636234044</v>
      </c>
      <c r="N23" s="135">
        <f t="shared" si="11"/>
        <v>14486591.107395291</v>
      </c>
      <c r="O23" s="133">
        <f t="shared" si="0"/>
        <v>1427853225.6253867</v>
      </c>
      <c r="P23" s="141"/>
      <c r="Q23" s="141"/>
      <c r="R23" s="141"/>
      <c r="S23" s="141"/>
    </row>
    <row r="24" spans="2:19" s="142" customFormat="1" ht="12.75" customHeight="1" x14ac:dyDescent="0.25">
      <c r="B24" s="130">
        <f t="shared" si="1"/>
        <v>11</v>
      </c>
      <c r="C24" s="130"/>
      <c r="D24" s="134" t="s">
        <v>31</v>
      </c>
      <c r="E24" s="135">
        <f t="shared" si="2"/>
        <v>0</v>
      </c>
      <c r="F24" s="135">
        <f t="shared" si="3"/>
        <v>17623137.176969379</v>
      </c>
      <c r="G24" s="135">
        <f t="shared" si="4"/>
        <v>70307359.025513664</v>
      </c>
      <c r="H24" s="135">
        <f t="shared" si="5"/>
        <v>428334941.88132262</v>
      </c>
      <c r="I24" s="135">
        <f t="shared" si="6"/>
        <v>459971896.32866883</v>
      </c>
      <c r="J24" s="135">
        <f t="shared" si="7"/>
        <v>46030446.863457158</v>
      </c>
      <c r="K24" s="135">
        <f t="shared" si="8"/>
        <v>401070351.48110747</v>
      </c>
      <c r="L24" s="135">
        <f t="shared" si="9"/>
        <v>363354.16922872304</v>
      </c>
      <c r="M24" s="135">
        <f t="shared" si="10"/>
        <v>2389385.5448147319</v>
      </c>
      <c r="N24" s="135">
        <f t="shared" si="11"/>
        <v>14729836.433292311</v>
      </c>
      <c r="O24" s="133">
        <f t="shared" si="0"/>
        <v>1440820708.9043751</v>
      </c>
      <c r="P24" s="141"/>
      <c r="Q24" s="141"/>
      <c r="R24" s="141"/>
      <c r="S24" s="141"/>
    </row>
    <row r="25" spans="2:19" s="142" customFormat="1" ht="12.75" customHeight="1" x14ac:dyDescent="0.25">
      <c r="B25" s="130">
        <f t="shared" si="1"/>
        <v>12</v>
      </c>
      <c r="C25" s="130"/>
      <c r="D25" s="134" t="s">
        <v>32</v>
      </c>
      <c r="E25" s="135">
        <f t="shared" si="2"/>
        <v>0</v>
      </c>
      <c r="F25" s="135">
        <f t="shared" si="3"/>
        <v>17851330.321477938</v>
      </c>
      <c r="G25" s="135">
        <f t="shared" si="4"/>
        <v>71257984.624848351</v>
      </c>
      <c r="H25" s="135">
        <f t="shared" si="5"/>
        <v>434195539.2435233</v>
      </c>
      <c r="I25" s="135">
        <f t="shared" si="6"/>
        <v>460943908.64902622</v>
      </c>
      <c r="J25" s="135">
        <f t="shared" si="7"/>
        <v>46160864.684386492</v>
      </c>
      <c r="K25" s="135">
        <f t="shared" si="8"/>
        <v>405901284.39701325</v>
      </c>
      <c r="L25" s="135">
        <f t="shared" si="9"/>
        <v>581519.23413998238</v>
      </c>
      <c r="M25" s="135">
        <f t="shared" si="10"/>
        <v>2634501.1246635905</v>
      </c>
      <c r="N25" s="135">
        <f t="shared" si="11"/>
        <v>14963804.117972847</v>
      </c>
      <c r="O25" s="133">
        <f t="shared" si="0"/>
        <v>1454490736.3970518</v>
      </c>
      <c r="P25" s="141"/>
      <c r="Q25" s="141"/>
      <c r="R25" s="141"/>
      <c r="S25" s="141"/>
    </row>
    <row r="26" spans="2:19" s="142" customFormat="1" x14ac:dyDescent="0.25">
      <c r="B26" s="130">
        <f t="shared" si="1"/>
        <v>13</v>
      </c>
      <c r="C26" s="130"/>
      <c r="D26" s="136" t="s">
        <v>33</v>
      </c>
      <c r="E26" s="183">
        <v>0</v>
      </c>
      <c r="F26" s="183">
        <f>'Trans Plant-Rsrve Act'!E67+'Trans Plant-Rsrve Act'!D67</f>
        <v>18079938.998426363</v>
      </c>
      <c r="G26" s="183">
        <f>'Trans Plant-Rsrve Act'!F67</f>
        <v>72260282.663679585</v>
      </c>
      <c r="H26" s="183">
        <f>'Trans Plant-Rsrve Act'!G67</f>
        <v>439653027.79319572</v>
      </c>
      <c r="I26" s="183">
        <f>'Trans Plant-Rsrve Act'!H67</f>
        <v>465353601.53802395</v>
      </c>
      <c r="J26" s="183">
        <f>'Trans Plant-Rsrve Act'!I67</f>
        <v>46058792.048423618</v>
      </c>
      <c r="K26" s="183">
        <f>'Trans Plant-Rsrve Act'!J67</f>
        <v>407738326.31860054</v>
      </c>
      <c r="L26" s="183">
        <f>'Trans Plant-Rsrve Act'!K67</f>
        <v>839658.64846191066</v>
      </c>
      <c r="M26" s="183">
        <f>'Trans Plant-Rsrve Act'!L67</f>
        <v>2896107.6429296676</v>
      </c>
      <c r="N26" s="183">
        <f>'Trans Plant-Rsrve Act'!M67</f>
        <v>14910822.35021608</v>
      </c>
      <c r="O26" s="133">
        <f t="shared" si="0"/>
        <v>1467790558.0019572</v>
      </c>
      <c r="P26" s="141"/>
      <c r="Q26" s="141"/>
      <c r="R26" s="141"/>
      <c r="S26" s="141"/>
    </row>
    <row r="27" spans="2:19" s="142" customFormat="1" x14ac:dyDescent="0.25">
      <c r="B27" s="130">
        <f t="shared" si="1"/>
        <v>14</v>
      </c>
      <c r="C27" s="118"/>
      <c r="D27" s="136" t="s">
        <v>34</v>
      </c>
      <c r="E27" s="184">
        <f t="shared" ref="E27:N27" si="12">AVERAGE(E14:E26)</f>
        <v>0</v>
      </c>
      <c r="F27" s="184">
        <f t="shared" si="12"/>
        <v>16784909.903727598</v>
      </c>
      <c r="G27" s="184">
        <f t="shared" si="12"/>
        <v>67318941.600431055</v>
      </c>
      <c r="H27" s="184">
        <f t="shared" si="12"/>
        <v>406079811.07319158</v>
      </c>
      <c r="I27" s="184">
        <f t="shared" si="12"/>
        <v>436119815.68155944</v>
      </c>
      <c r="J27" s="184">
        <f t="shared" si="12"/>
        <v>45893673.823404439</v>
      </c>
      <c r="K27" s="184">
        <f t="shared" si="12"/>
        <v>394177002.69427627</v>
      </c>
      <c r="L27" s="184">
        <f t="shared" si="12"/>
        <v>220383.29002191155</v>
      </c>
      <c r="M27" s="184">
        <f t="shared" si="12"/>
        <v>2052227.1677225071</v>
      </c>
      <c r="N27" s="184">
        <f t="shared" si="12"/>
        <v>14203789.72769611</v>
      </c>
      <c r="O27" s="184">
        <f t="shared" si="0"/>
        <v>1382850554.9620309</v>
      </c>
      <c r="P27" s="141"/>
      <c r="Q27" s="141"/>
      <c r="R27" s="141"/>
      <c r="S27" s="141"/>
    </row>
    <row r="28" spans="2:19" s="142" customFormat="1" x14ac:dyDescent="0.25"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41"/>
      <c r="Q28" s="141"/>
      <c r="R28" s="141"/>
      <c r="S28" s="141"/>
    </row>
    <row r="29" spans="2:19" s="142" customFormat="1" x14ac:dyDescent="0.25">
      <c r="B29" s="118"/>
      <c r="C29" s="9" t="s">
        <v>140</v>
      </c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41"/>
      <c r="Q29" s="141"/>
      <c r="R29" s="141"/>
      <c r="S29" s="141"/>
    </row>
    <row r="30" spans="2:19" s="142" customFormat="1" x14ac:dyDescent="0.25">
      <c r="B30" s="118"/>
      <c r="C30" s="9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41"/>
      <c r="Q30" s="141"/>
      <c r="R30" s="141"/>
      <c r="S30" s="141"/>
    </row>
    <row r="31" spans="2:19" s="142" customFormat="1" x14ac:dyDescent="0.25">
      <c r="B31" s="118"/>
      <c r="C31" s="118"/>
      <c r="D31" s="129" t="s">
        <v>5</v>
      </c>
      <c r="E31" s="129" t="s">
        <v>6</v>
      </c>
      <c r="F31" s="129" t="s">
        <v>7</v>
      </c>
      <c r="G31" s="129" t="s">
        <v>8</v>
      </c>
      <c r="H31" s="129" t="s">
        <v>9</v>
      </c>
      <c r="I31" s="118"/>
      <c r="J31" s="118"/>
      <c r="K31" s="118"/>
      <c r="L31" s="118"/>
      <c r="M31" s="118"/>
      <c r="N31" s="118"/>
      <c r="O31" s="118"/>
      <c r="P31" s="141"/>
      <c r="Q31" s="141"/>
      <c r="R31" s="141"/>
      <c r="S31" s="141"/>
    </row>
    <row r="32" spans="2:19" s="142" customFormat="1" x14ac:dyDescent="0.25">
      <c r="B32" s="118"/>
      <c r="C32" s="118"/>
      <c r="D32" s="118"/>
      <c r="E32" s="197" t="s">
        <v>139</v>
      </c>
      <c r="F32" s="118"/>
      <c r="G32" s="118"/>
      <c r="H32" s="196" t="s">
        <v>138</v>
      </c>
      <c r="I32" s="118"/>
      <c r="J32" s="118"/>
      <c r="K32" s="118"/>
      <c r="L32" s="118"/>
      <c r="M32" s="118"/>
      <c r="N32" s="118"/>
      <c r="O32" s="118"/>
      <c r="P32" s="198"/>
      <c r="Q32" s="141"/>
      <c r="R32" s="141"/>
      <c r="S32" s="141"/>
    </row>
    <row r="33" spans="2:19" s="142" customFormat="1" x14ac:dyDescent="0.25">
      <c r="B33" s="118"/>
      <c r="C33" s="118"/>
      <c r="D33" s="118"/>
      <c r="E33" s="197" t="s">
        <v>137</v>
      </c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99"/>
      <c r="Q33" s="141"/>
      <c r="R33" s="141"/>
      <c r="S33" s="141"/>
    </row>
    <row r="34" spans="2:19" s="142" customFormat="1" x14ac:dyDescent="0.25">
      <c r="B34" s="118"/>
      <c r="C34" s="118"/>
      <c r="D34" s="214" t="s">
        <v>19</v>
      </c>
      <c r="E34" s="215">
        <v>360</v>
      </c>
      <c r="F34" s="215">
        <v>361</v>
      </c>
      <c r="G34" s="215">
        <v>362</v>
      </c>
      <c r="H34" s="216" t="s">
        <v>20</v>
      </c>
      <c r="I34" s="218" t="s">
        <v>57</v>
      </c>
      <c r="J34" s="141"/>
      <c r="K34" s="141"/>
      <c r="L34" s="118"/>
      <c r="M34" s="118"/>
      <c r="N34" s="118"/>
      <c r="O34" s="118"/>
      <c r="P34" s="199"/>
      <c r="Q34" s="141"/>
      <c r="R34" s="141"/>
      <c r="S34" s="141"/>
    </row>
    <row r="35" spans="2:19" s="142" customFormat="1" x14ac:dyDescent="0.25">
      <c r="B35" s="130">
        <f>B27+1</f>
        <v>15</v>
      </c>
      <c r="C35" s="121"/>
      <c r="D35" s="136" t="str">
        <f>D14</f>
        <v>Dec 2015</v>
      </c>
      <c r="E35" s="132">
        <v>0</v>
      </c>
      <c r="F35" s="132">
        <v>0</v>
      </c>
      <c r="G35" s="132">
        <v>0</v>
      </c>
      <c r="H35" s="133">
        <f>SUM(E35:G35)</f>
        <v>0</v>
      </c>
      <c r="I35" s="161" t="s">
        <v>136</v>
      </c>
      <c r="J35" s="141"/>
      <c r="K35" s="141"/>
      <c r="L35" s="118"/>
      <c r="M35" s="118"/>
      <c r="N35" s="118"/>
      <c r="O35" s="118"/>
      <c r="P35" s="199"/>
      <c r="Q35" s="141"/>
      <c r="R35" s="141"/>
      <c r="S35" s="141"/>
    </row>
    <row r="36" spans="2:19" s="142" customFormat="1" x14ac:dyDescent="0.25">
      <c r="B36" s="130">
        <v>16</v>
      </c>
      <c r="C36" s="121"/>
      <c r="D36" s="136" t="str">
        <f>D26</f>
        <v>Dec 2016</v>
      </c>
      <c r="E36" s="183">
        <v>0</v>
      </c>
      <c r="F36" s="183">
        <v>0</v>
      </c>
      <c r="G36" s="183">
        <v>0</v>
      </c>
      <c r="H36" s="133">
        <f>SUM(E36:G36)</f>
        <v>0</v>
      </c>
      <c r="I36" s="161" t="s">
        <v>135</v>
      </c>
      <c r="J36" s="141"/>
      <c r="K36" s="141"/>
      <c r="L36" s="118"/>
      <c r="M36" s="118"/>
      <c r="N36" s="121"/>
      <c r="O36" s="121"/>
      <c r="P36" s="199"/>
      <c r="Q36" s="141"/>
      <c r="R36" s="141"/>
      <c r="S36" s="141"/>
    </row>
    <row r="37" spans="2:19" s="142" customFormat="1" x14ac:dyDescent="0.25">
      <c r="B37" s="130">
        <f>B36+1</f>
        <v>17</v>
      </c>
      <c r="C37" s="121"/>
      <c r="D37" s="200" t="s">
        <v>125</v>
      </c>
      <c r="E37" s="184">
        <f>AVERAGE(E35:E36)</f>
        <v>0</v>
      </c>
      <c r="F37" s="184">
        <f>AVERAGE(F35:F36)</f>
        <v>0</v>
      </c>
      <c r="G37" s="184">
        <f>AVERAGE(G35:G36)</f>
        <v>0</v>
      </c>
      <c r="H37" s="184">
        <f>AVERAGE(H35:H36)</f>
        <v>0</v>
      </c>
      <c r="I37" s="201" t="str">
        <f>"Average of Line "&amp;B35&amp;" and Line "&amp;B36&amp;""</f>
        <v>Average of Line 15 and Line 16</v>
      </c>
      <c r="J37" s="118"/>
      <c r="K37" s="118"/>
      <c r="L37" s="118"/>
      <c r="M37" s="121"/>
      <c r="N37" s="160"/>
      <c r="O37" s="202"/>
      <c r="P37" s="199"/>
      <c r="Q37" s="141"/>
      <c r="R37" s="141"/>
      <c r="S37" s="141"/>
    </row>
    <row r="38" spans="2:19" s="142" customFormat="1" x14ac:dyDescent="0.25">
      <c r="B38" s="121"/>
      <c r="C38" s="121"/>
      <c r="D38" s="200"/>
      <c r="E38" s="121"/>
      <c r="F38" s="121"/>
      <c r="G38" s="121"/>
      <c r="H38" s="121"/>
      <c r="I38" s="121"/>
      <c r="J38" s="118"/>
      <c r="K38" s="118"/>
      <c r="L38" s="118"/>
      <c r="M38" s="121"/>
      <c r="N38" s="158"/>
      <c r="O38" s="162"/>
      <c r="P38" s="199"/>
      <c r="Q38" s="141"/>
      <c r="R38" s="141"/>
      <c r="S38" s="141"/>
    </row>
    <row r="39" spans="2:19" s="142" customFormat="1" x14ac:dyDescent="0.25">
      <c r="B39" s="121"/>
      <c r="C39" s="9" t="s">
        <v>134</v>
      </c>
      <c r="D39" s="121"/>
      <c r="E39" s="121"/>
      <c r="F39" s="121"/>
      <c r="G39" s="121"/>
      <c r="H39" s="121"/>
      <c r="I39" s="121"/>
      <c r="J39" s="118"/>
      <c r="K39" s="118"/>
      <c r="L39" s="118"/>
      <c r="M39" s="118"/>
      <c r="N39" s="160"/>
      <c r="O39" s="162"/>
      <c r="P39" s="199"/>
      <c r="Q39" s="141"/>
      <c r="R39" s="141"/>
      <c r="S39" s="141"/>
    </row>
    <row r="40" spans="2:19" s="142" customFormat="1" x14ac:dyDescent="0.25">
      <c r="B40" s="121"/>
      <c r="C40" s="9"/>
      <c r="D40" s="168" t="s">
        <v>5</v>
      </c>
      <c r="E40" s="168" t="s">
        <v>6</v>
      </c>
      <c r="F40" s="168" t="s">
        <v>7</v>
      </c>
      <c r="G40" s="168" t="s">
        <v>8</v>
      </c>
      <c r="H40" s="168" t="s">
        <v>9</v>
      </c>
      <c r="I40" s="121"/>
      <c r="J40" s="121"/>
      <c r="K40" s="118"/>
      <c r="L40" s="185"/>
      <c r="M40" s="118"/>
      <c r="N40" s="121"/>
      <c r="O40" s="121"/>
      <c r="P40" s="141"/>
      <c r="Q40" s="141"/>
      <c r="R40" s="141"/>
      <c r="S40" s="141"/>
    </row>
    <row r="41" spans="2:19" s="142" customFormat="1" x14ac:dyDescent="0.25">
      <c r="B41" s="121"/>
      <c r="C41" s="9"/>
      <c r="D41" s="168"/>
      <c r="E41" s="168"/>
      <c r="F41" s="203" t="s">
        <v>133</v>
      </c>
      <c r="G41" s="168"/>
      <c r="H41" s="168"/>
      <c r="I41" s="121"/>
      <c r="J41" s="121"/>
      <c r="K41" s="118"/>
      <c r="L41" s="185"/>
      <c r="M41" s="118"/>
      <c r="N41" s="121"/>
      <c r="O41" s="121"/>
      <c r="P41" s="141"/>
      <c r="Q41" s="141"/>
      <c r="R41" s="141"/>
      <c r="S41" s="141"/>
    </row>
    <row r="42" spans="2:19" s="142" customFormat="1" x14ac:dyDescent="0.25">
      <c r="B42" s="121"/>
      <c r="C42" s="121"/>
      <c r="F42" s="125" t="s">
        <v>20</v>
      </c>
      <c r="I42" s="121"/>
      <c r="J42" s="121"/>
      <c r="K42" s="118"/>
      <c r="L42" s="185"/>
      <c r="M42" s="118"/>
      <c r="N42" s="121"/>
      <c r="O42" s="121"/>
      <c r="P42" s="141"/>
      <c r="Q42" s="141"/>
      <c r="R42" s="141"/>
      <c r="S42" s="141"/>
    </row>
    <row r="43" spans="2:19" s="142" customFormat="1" x14ac:dyDescent="0.25">
      <c r="B43" s="121"/>
      <c r="C43" s="118"/>
      <c r="E43" s="141"/>
      <c r="F43" s="125" t="s">
        <v>132</v>
      </c>
      <c r="G43" s="127" t="s">
        <v>49</v>
      </c>
      <c r="H43" s="127" t="s">
        <v>50</v>
      </c>
      <c r="I43" s="121"/>
      <c r="J43" s="121"/>
      <c r="K43" s="118"/>
      <c r="L43" s="185"/>
      <c r="M43" s="118"/>
      <c r="N43" s="121"/>
      <c r="O43" s="121"/>
      <c r="P43" s="141"/>
      <c r="Q43" s="141"/>
      <c r="R43" s="141"/>
      <c r="S43" s="141"/>
    </row>
    <row r="44" spans="2:19" s="142" customFormat="1" x14ac:dyDescent="0.25">
      <c r="B44" s="121"/>
      <c r="C44" s="118"/>
      <c r="E44" s="141"/>
      <c r="F44" s="125" t="s">
        <v>131</v>
      </c>
      <c r="G44" s="125" t="s">
        <v>131</v>
      </c>
      <c r="H44" s="125" t="s">
        <v>131</v>
      </c>
      <c r="I44" s="121"/>
      <c r="J44" s="121"/>
      <c r="K44" s="118"/>
      <c r="L44" s="185"/>
      <c r="M44" s="118"/>
      <c r="N44" s="121"/>
      <c r="O44" s="121"/>
      <c r="R44" s="141"/>
      <c r="S44" s="141"/>
    </row>
    <row r="45" spans="2:19" s="142" customFormat="1" x14ac:dyDescent="0.25">
      <c r="B45" s="121"/>
      <c r="C45" s="118"/>
      <c r="D45" s="214" t="s">
        <v>19</v>
      </c>
      <c r="E45" s="221"/>
      <c r="F45" s="219" t="s">
        <v>130</v>
      </c>
      <c r="G45" s="219" t="s">
        <v>130</v>
      </c>
      <c r="H45" s="219" t="s">
        <v>130</v>
      </c>
      <c r="I45" s="220" t="s">
        <v>42</v>
      </c>
      <c r="J45" s="121"/>
      <c r="K45" s="118"/>
      <c r="L45" s="143"/>
      <c r="M45" s="118"/>
      <c r="N45" s="121"/>
      <c r="O45" s="121"/>
      <c r="P45" s="141"/>
      <c r="Q45" s="141"/>
      <c r="R45" s="141"/>
      <c r="S45" s="141"/>
    </row>
    <row r="46" spans="2:19" s="142" customFormat="1" x14ac:dyDescent="0.25">
      <c r="B46" s="130">
        <f>B37+1</f>
        <v>18</v>
      </c>
      <c r="C46" s="118"/>
      <c r="D46" s="136" t="str">
        <f>D35</f>
        <v>Dec 2015</v>
      </c>
      <c r="E46" s="148" t="s">
        <v>129</v>
      </c>
      <c r="F46" s="135">
        <f>SUM(G46:H46)</f>
        <v>1958254795</v>
      </c>
      <c r="G46" s="132">
        <v>1011263915</v>
      </c>
      <c r="H46" s="222">
        <v>946990880</v>
      </c>
      <c r="I46" s="199" t="s">
        <v>128</v>
      </c>
      <c r="K46" s="141"/>
      <c r="L46" s="121"/>
      <c r="M46" s="118"/>
      <c r="N46" s="121"/>
      <c r="O46" s="121"/>
      <c r="P46" s="141"/>
      <c r="Q46" s="141"/>
      <c r="R46" s="141"/>
      <c r="S46" s="141"/>
    </row>
    <row r="47" spans="2:19" s="142" customFormat="1" x14ac:dyDescent="0.25">
      <c r="B47" s="130">
        <f>B46+1</f>
        <v>19</v>
      </c>
      <c r="C47" s="118"/>
      <c r="D47" s="136" t="str">
        <f>D36</f>
        <v>Dec 2016</v>
      </c>
      <c r="E47" s="200" t="s">
        <v>127</v>
      </c>
      <c r="F47" s="135">
        <f>SUM(G47:H47)</f>
        <v>1917414678</v>
      </c>
      <c r="G47" s="132">
        <v>1073416375</v>
      </c>
      <c r="H47" s="222">
        <v>843998303</v>
      </c>
      <c r="I47" s="199" t="s">
        <v>126</v>
      </c>
      <c r="K47" s="141"/>
      <c r="L47" s="186"/>
      <c r="M47" s="118"/>
      <c r="N47" s="121"/>
      <c r="O47" s="121"/>
      <c r="P47" s="141"/>
      <c r="Q47" s="141"/>
      <c r="R47" s="141"/>
      <c r="S47" s="141"/>
    </row>
    <row r="48" spans="2:19" s="142" customFormat="1" x14ac:dyDescent="0.25">
      <c r="B48" s="130">
        <f>B47+1</f>
        <v>20</v>
      </c>
      <c r="C48" s="118"/>
      <c r="D48" s="121"/>
      <c r="E48" s="200" t="s">
        <v>125</v>
      </c>
      <c r="F48" s="184">
        <f>AVERAGE(F46:F47)</f>
        <v>1937834736.5</v>
      </c>
      <c r="G48" s="121"/>
      <c r="H48" s="121"/>
      <c r="I48" s="201" t="str">
        <f>"Average of Line "&amp;B46&amp;" and Line "&amp;B47&amp;""</f>
        <v>Average of Line 18 and Line 19</v>
      </c>
      <c r="J48" s="121"/>
      <c r="K48" s="118"/>
      <c r="L48" s="186"/>
      <c r="M48" s="118"/>
      <c r="N48" s="121"/>
      <c r="O48" s="121"/>
      <c r="P48" s="141"/>
      <c r="Q48" s="141"/>
      <c r="R48" s="141"/>
      <c r="S48" s="141"/>
    </row>
    <row r="49" spans="2:19" s="142" customFormat="1" x14ac:dyDescent="0.25">
      <c r="B49" s="121"/>
      <c r="C49" s="121"/>
      <c r="D49" s="121"/>
      <c r="E49" s="121"/>
      <c r="F49" s="121"/>
      <c r="G49" s="121"/>
      <c r="H49" s="121"/>
      <c r="I49" s="121"/>
      <c r="J49" s="118"/>
      <c r="K49" s="118"/>
      <c r="L49" s="118"/>
      <c r="M49" s="118"/>
      <c r="N49" s="121"/>
      <c r="O49" s="121"/>
      <c r="P49" s="141"/>
      <c r="Q49" s="141"/>
      <c r="R49" s="141"/>
      <c r="S49" s="141"/>
    </row>
    <row r="50" spans="2:19" s="142" customFormat="1" x14ac:dyDescent="0.25">
      <c r="B50" s="121"/>
      <c r="C50" s="140" t="s">
        <v>124</v>
      </c>
      <c r="D50" s="147"/>
      <c r="E50" s="152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41"/>
      <c r="Q50" s="141"/>
      <c r="R50" s="141"/>
      <c r="S50" s="141"/>
    </row>
    <row r="51" spans="2:19" s="142" customFormat="1" x14ac:dyDescent="0.25">
      <c r="B51" s="121"/>
      <c r="C51" s="140"/>
      <c r="D51" s="147"/>
      <c r="E51" s="152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41"/>
      <c r="Q51" s="141"/>
      <c r="R51" s="141"/>
      <c r="S51" s="141"/>
    </row>
    <row r="52" spans="2:19" s="142" customFormat="1" x14ac:dyDescent="0.25">
      <c r="B52" s="121"/>
      <c r="C52" s="118"/>
      <c r="D52" s="140"/>
      <c r="E52" s="147"/>
      <c r="F52" s="152"/>
      <c r="G52" s="223" t="s">
        <v>41</v>
      </c>
      <c r="H52" s="220" t="s">
        <v>42</v>
      </c>
      <c r="I52" s="118"/>
      <c r="J52" s="118"/>
      <c r="K52" s="118"/>
      <c r="L52" s="118"/>
      <c r="M52" s="118"/>
      <c r="N52" s="118"/>
      <c r="O52" s="118"/>
      <c r="P52" s="141"/>
      <c r="Q52" s="141"/>
      <c r="R52" s="141"/>
      <c r="S52" s="141"/>
    </row>
    <row r="53" spans="2:19" s="142" customFormat="1" x14ac:dyDescent="0.25">
      <c r="B53" s="130">
        <f>B48+1</f>
        <v>21</v>
      </c>
      <c r="C53" s="118"/>
      <c r="D53" s="147"/>
      <c r="E53" s="147"/>
      <c r="F53" s="148" t="s">
        <v>123</v>
      </c>
      <c r="G53" s="149">
        <f>F48</f>
        <v>1937834736.5</v>
      </c>
      <c r="H53" s="201" t="str">
        <f>"Line "&amp;B48&amp;""</f>
        <v>Line 20</v>
      </c>
      <c r="I53" s="118"/>
      <c r="J53" s="118"/>
      <c r="K53" s="118"/>
      <c r="L53" s="118"/>
      <c r="M53" s="118"/>
      <c r="N53" s="118"/>
      <c r="O53" s="118"/>
      <c r="P53" s="141"/>
      <c r="Q53" s="141"/>
      <c r="R53" s="141"/>
      <c r="S53" s="141"/>
    </row>
    <row r="54" spans="2:19" s="142" customFormat="1" x14ac:dyDescent="0.25">
      <c r="B54" s="130">
        <f>B53+1</f>
        <v>22</v>
      </c>
      <c r="C54" s="118"/>
      <c r="D54" s="147"/>
      <c r="E54" s="147"/>
      <c r="F54" s="165" t="s">
        <v>65</v>
      </c>
      <c r="G54" s="186">
        <v>6.1650013139118928E-2</v>
      </c>
      <c r="H54" s="199" t="s">
        <v>230</v>
      </c>
      <c r="I54" s="118"/>
      <c r="J54" s="118"/>
      <c r="K54" s="118"/>
      <c r="L54" s="118"/>
      <c r="M54" s="118"/>
      <c r="N54" s="118"/>
      <c r="O54" s="118"/>
      <c r="P54" s="141"/>
      <c r="Q54" s="141"/>
      <c r="R54" s="141"/>
      <c r="S54" s="141"/>
    </row>
    <row r="55" spans="2:19" s="142" customFormat="1" x14ac:dyDescent="0.25">
      <c r="B55" s="130">
        <f>B54+1</f>
        <v>23</v>
      </c>
      <c r="C55" s="118"/>
      <c r="D55" s="147"/>
      <c r="E55" s="147"/>
      <c r="F55" s="165" t="s">
        <v>122</v>
      </c>
      <c r="G55" s="187">
        <f>G53*G54</f>
        <v>119467536.96666607</v>
      </c>
      <c r="H55" s="199" t="str">
        <f>"Line "&amp;B53&amp;" * Line "&amp;B54&amp;""</f>
        <v>Line 21 * Line 22</v>
      </c>
      <c r="I55" s="118"/>
      <c r="J55" s="118"/>
      <c r="K55" s="118"/>
      <c r="L55" s="118"/>
      <c r="M55" s="118"/>
      <c r="N55" s="118"/>
      <c r="O55" s="121"/>
      <c r="P55" s="141"/>
      <c r="Q55" s="141"/>
      <c r="R55" s="141"/>
      <c r="S55" s="141"/>
    </row>
    <row r="56" spans="2:19" s="142" customFormat="1" x14ac:dyDescent="0.25">
      <c r="B56" s="121"/>
      <c r="C56" s="147"/>
      <c r="D56" s="147"/>
      <c r="E56" s="165"/>
      <c r="F56" s="149"/>
      <c r="G56" s="118"/>
      <c r="H56" s="141"/>
      <c r="I56" s="118"/>
      <c r="J56" s="118"/>
      <c r="K56" s="118"/>
      <c r="L56" s="118"/>
      <c r="M56" s="118"/>
      <c r="N56" s="118"/>
      <c r="O56" s="121"/>
      <c r="P56" s="141"/>
      <c r="Q56" s="141"/>
      <c r="R56" s="141"/>
      <c r="S56" s="141"/>
    </row>
    <row r="57" spans="2:19" s="142" customFormat="1" x14ac:dyDescent="0.25">
      <c r="B57" s="121"/>
      <c r="C57" s="140" t="s">
        <v>121</v>
      </c>
      <c r="D57" s="147"/>
      <c r="E57" s="152"/>
      <c r="F57" s="118"/>
      <c r="G57" s="118"/>
      <c r="H57" s="141"/>
      <c r="I57" s="118"/>
      <c r="J57" s="118"/>
      <c r="K57" s="118"/>
      <c r="L57" s="118"/>
      <c r="M57" s="118"/>
      <c r="N57" s="118"/>
      <c r="O57" s="121"/>
      <c r="P57" s="141"/>
      <c r="Q57" s="141"/>
      <c r="R57" s="141"/>
      <c r="S57" s="141"/>
    </row>
    <row r="58" spans="2:19" s="142" customFormat="1" x14ac:dyDescent="0.25">
      <c r="B58" s="121"/>
      <c r="C58" s="118"/>
      <c r="D58" s="118"/>
      <c r="E58" s="118"/>
      <c r="F58" s="118"/>
      <c r="G58" s="118"/>
      <c r="H58" s="141"/>
      <c r="I58" s="118"/>
      <c r="J58" s="118"/>
      <c r="K58" s="118"/>
      <c r="L58" s="118"/>
      <c r="M58" s="118"/>
      <c r="N58" s="118"/>
      <c r="O58" s="121"/>
      <c r="P58" s="204"/>
      <c r="Q58" s="156"/>
      <c r="R58" s="141"/>
      <c r="S58" s="141"/>
    </row>
    <row r="59" spans="2:19" s="142" customFormat="1" x14ac:dyDescent="0.25">
      <c r="B59" s="121"/>
      <c r="C59" s="118"/>
      <c r="D59" s="118"/>
      <c r="E59" s="118"/>
      <c r="F59" s="118"/>
      <c r="G59" s="223" t="s">
        <v>41</v>
      </c>
      <c r="H59" s="221" t="s">
        <v>42</v>
      </c>
      <c r="I59" s="118"/>
      <c r="J59" s="118"/>
      <c r="K59" s="118"/>
      <c r="L59" s="118"/>
      <c r="M59" s="118"/>
      <c r="N59" s="118"/>
      <c r="O59" s="121"/>
      <c r="P59" s="205"/>
      <c r="Q59" s="205"/>
      <c r="R59" s="141"/>
      <c r="S59" s="141"/>
    </row>
    <row r="60" spans="2:19" s="142" customFormat="1" x14ac:dyDescent="0.25">
      <c r="B60" s="130">
        <f>B55+1</f>
        <v>24</v>
      </c>
      <c r="C60" s="147"/>
      <c r="D60" s="147"/>
      <c r="E60" s="121"/>
      <c r="F60" s="148" t="s">
        <v>120</v>
      </c>
      <c r="G60" s="149">
        <f>F47</f>
        <v>1917414678</v>
      </c>
      <c r="H60" s="199" t="str">
        <f>"Line "&amp;B47&amp;""</f>
        <v>Line 19</v>
      </c>
      <c r="I60" s="118"/>
      <c r="J60" s="118"/>
      <c r="K60" s="118"/>
      <c r="L60" s="118"/>
      <c r="M60" s="118"/>
      <c r="N60" s="118"/>
      <c r="O60" s="121"/>
      <c r="P60" s="206"/>
      <c r="Q60" s="207"/>
      <c r="R60" s="141"/>
      <c r="S60" s="141"/>
    </row>
    <row r="61" spans="2:19" s="142" customFormat="1" x14ac:dyDescent="0.25">
      <c r="B61" s="130">
        <f>B60+1</f>
        <v>25</v>
      </c>
      <c r="C61" s="147"/>
      <c r="D61" s="147"/>
      <c r="E61" s="121"/>
      <c r="F61" s="165" t="s">
        <v>65</v>
      </c>
      <c r="G61" s="186">
        <v>6.1650013139118928E-2</v>
      </c>
      <c r="H61" s="199" t="s">
        <v>230</v>
      </c>
      <c r="I61" s="118"/>
      <c r="J61" s="118"/>
      <c r="K61" s="118"/>
      <c r="L61" s="118"/>
      <c r="M61" s="118"/>
      <c r="N61" s="118"/>
      <c r="O61" s="121"/>
      <c r="P61" s="206"/>
      <c r="Q61" s="207"/>
      <c r="R61" s="141"/>
      <c r="S61" s="141"/>
    </row>
    <row r="62" spans="2:19" s="142" customFormat="1" x14ac:dyDescent="0.25">
      <c r="B62" s="130">
        <f>B61+1</f>
        <v>26</v>
      </c>
      <c r="C62" s="147"/>
      <c r="D62" s="147"/>
      <c r="E62" s="121"/>
      <c r="F62" s="165" t="s">
        <v>119</v>
      </c>
      <c r="G62" s="187">
        <f>G60*G61</f>
        <v>118208640.09183949</v>
      </c>
      <c r="H62" s="201" t="str">
        <f>"Line "&amp;B60&amp;" * Line "&amp;B61&amp;""</f>
        <v>Line 24 * Line 25</v>
      </c>
      <c r="I62" s="118"/>
      <c r="J62" s="118"/>
      <c r="K62" s="118"/>
      <c r="L62" s="118"/>
      <c r="M62" s="118"/>
      <c r="N62" s="118"/>
      <c r="O62" s="121"/>
      <c r="R62" s="141"/>
      <c r="S62" s="141"/>
    </row>
    <row r="63" spans="2:19" s="142" customFormat="1" x14ac:dyDescent="0.25">
      <c r="B63" s="121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21"/>
      <c r="R63" s="141"/>
      <c r="S63" s="141"/>
    </row>
    <row r="64" spans="2:19" s="142" customFormat="1" x14ac:dyDescent="0.25"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R64" s="141"/>
      <c r="S64" s="141"/>
    </row>
    <row r="65" spans="2:19" s="142" customFormat="1" x14ac:dyDescent="0.25">
      <c r="B65" s="121"/>
      <c r="C65" s="140" t="s">
        <v>118</v>
      </c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R65" s="141"/>
      <c r="S65" s="141"/>
    </row>
    <row r="66" spans="2:19" s="142" customFormat="1" x14ac:dyDescent="0.25"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R66" s="141"/>
      <c r="S66" s="141"/>
    </row>
    <row r="67" spans="2:19" s="142" customFormat="1" x14ac:dyDescent="0.25">
      <c r="B67" s="121"/>
      <c r="C67" s="121"/>
      <c r="D67" s="140" t="s">
        <v>117</v>
      </c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</row>
    <row r="68" spans="2:19" s="142" customFormat="1" x14ac:dyDescent="0.25"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</row>
    <row r="69" spans="2:19" s="142" customFormat="1" x14ac:dyDescent="0.25">
      <c r="B69" s="9"/>
      <c r="C69" s="121"/>
      <c r="D69" s="129" t="s">
        <v>5</v>
      </c>
      <c r="E69" s="129" t="s">
        <v>6</v>
      </c>
      <c r="F69" s="129" t="s">
        <v>7</v>
      </c>
      <c r="G69" s="129" t="s">
        <v>8</v>
      </c>
      <c r="H69" s="129" t="s">
        <v>9</v>
      </c>
      <c r="I69" s="129" t="s">
        <v>10</v>
      </c>
      <c r="J69" s="129" t="s">
        <v>11</v>
      </c>
      <c r="K69" s="129" t="s">
        <v>12</v>
      </c>
      <c r="L69" s="129" t="s">
        <v>13</v>
      </c>
      <c r="M69" s="129" t="s">
        <v>14</v>
      </c>
      <c r="N69" s="129" t="s">
        <v>15</v>
      </c>
      <c r="O69" s="129" t="s">
        <v>16</v>
      </c>
    </row>
    <row r="70" spans="2:19" s="142" customFormat="1" x14ac:dyDescent="0.25">
      <c r="B70" s="118"/>
      <c r="C70" s="121"/>
      <c r="D70" s="126"/>
      <c r="E70" s="118"/>
      <c r="F70" s="118"/>
      <c r="G70" s="118"/>
      <c r="H70" s="118"/>
      <c r="I70" s="118"/>
      <c r="J70" s="118"/>
      <c r="K70" s="118"/>
      <c r="L70" s="118"/>
      <c r="M70" s="118"/>
      <c r="N70" s="121"/>
      <c r="O70" s="126" t="s">
        <v>17</v>
      </c>
    </row>
    <row r="71" spans="2:19" s="142" customFormat="1" x14ac:dyDescent="0.25">
      <c r="B71" s="128"/>
      <c r="C71" s="121"/>
      <c r="D71" s="214" t="s">
        <v>19</v>
      </c>
      <c r="E71" s="215">
        <v>350.1</v>
      </c>
      <c r="F71" s="215">
        <v>350.2</v>
      </c>
      <c r="G71" s="215">
        <v>352</v>
      </c>
      <c r="H71" s="215">
        <v>353</v>
      </c>
      <c r="I71" s="215">
        <v>354</v>
      </c>
      <c r="J71" s="215">
        <v>355</v>
      </c>
      <c r="K71" s="215">
        <v>356</v>
      </c>
      <c r="L71" s="215">
        <v>357</v>
      </c>
      <c r="M71" s="215">
        <v>358</v>
      </c>
      <c r="N71" s="215">
        <v>359</v>
      </c>
      <c r="O71" s="216" t="s">
        <v>20</v>
      </c>
    </row>
    <row r="72" spans="2:19" s="142" customFormat="1" x14ac:dyDescent="0.25">
      <c r="B72" s="130">
        <f>B62+1</f>
        <v>27</v>
      </c>
      <c r="C72" s="121"/>
      <c r="D72" s="134" t="str">
        <f>D15</f>
        <v>Jan 2016</v>
      </c>
      <c r="E72" s="166">
        <f>'17-Depreciation'!C49</f>
        <v>0</v>
      </c>
      <c r="F72" s="166">
        <f>'17-Depreciation'!D49</f>
        <v>225583.59739690754</v>
      </c>
      <c r="G72" s="166">
        <f>'17-Depreciation'!E49</f>
        <v>1007565.0213038283</v>
      </c>
      <c r="H72" s="166">
        <f>'17-Depreciation'!F49</f>
        <v>6237114.8330042399</v>
      </c>
      <c r="I72" s="166">
        <f>'17-Depreciation'!G49</f>
        <v>4401399.6177432351</v>
      </c>
      <c r="J72" s="166">
        <f>'17-Depreciation'!H49</f>
        <v>950158.61521621933</v>
      </c>
      <c r="K72" s="166">
        <f>'17-Depreciation'!I49</f>
        <v>3150767.3759587468</v>
      </c>
      <c r="L72" s="166">
        <f>'17-Depreciation'!J49</f>
        <v>304.44752882100636</v>
      </c>
      <c r="M72" s="166">
        <f>'17-Depreciation'!K49</f>
        <v>41963.468362346241</v>
      </c>
      <c r="N72" s="166">
        <f>'17-Depreciation'!L49</f>
        <v>243213.80300619177</v>
      </c>
      <c r="O72" s="133">
        <f t="shared" ref="O72:O84" si="13">SUM(E72:N72)</f>
        <v>16258070.779520536</v>
      </c>
    </row>
    <row r="73" spans="2:19" s="142" customFormat="1" x14ac:dyDescent="0.25">
      <c r="B73" s="130">
        <f t="shared" ref="B73:B84" si="14">B72+1</f>
        <v>28</v>
      </c>
      <c r="C73" s="121"/>
      <c r="D73" s="134" t="str">
        <f t="shared" ref="D73:D83" si="15">D16</f>
        <v>Feb 2016</v>
      </c>
      <c r="E73" s="166">
        <f>'17-Depreciation'!C50</f>
        <v>0</v>
      </c>
      <c r="F73" s="166">
        <f>'17-Depreciation'!D50</f>
        <v>225607.03789604429</v>
      </c>
      <c r="G73" s="166">
        <f>'17-Depreciation'!E50</f>
        <v>1023261.8554022125</v>
      </c>
      <c r="H73" s="166">
        <f>'17-Depreciation'!F50</f>
        <v>6253706.8165471395</v>
      </c>
      <c r="I73" s="166">
        <f>'17-Depreciation'!G50</f>
        <v>4371369.9533594688</v>
      </c>
      <c r="J73" s="166">
        <f>'17-Depreciation'!H50</f>
        <v>955630.01242536923</v>
      </c>
      <c r="K73" s="166">
        <f>'17-Depreciation'!I50</f>
        <v>3155706.8466422656</v>
      </c>
      <c r="L73" s="166">
        <f>'17-Depreciation'!J50</f>
        <v>304.45084389426069</v>
      </c>
      <c r="M73" s="166">
        <f>'17-Depreciation'!K50</f>
        <v>41977.510775478644</v>
      </c>
      <c r="N73" s="166">
        <f>'17-Depreciation'!L50</f>
        <v>243555.64767855001</v>
      </c>
      <c r="O73" s="133">
        <f t="shared" si="13"/>
        <v>16271120.131570421</v>
      </c>
    </row>
    <row r="74" spans="2:19" s="142" customFormat="1" x14ac:dyDescent="0.25">
      <c r="B74" s="130">
        <f t="shared" si="14"/>
        <v>29</v>
      </c>
      <c r="C74" s="121"/>
      <c r="D74" s="134" t="str">
        <f t="shared" si="15"/>
        <v>Mar 2016</v>
      </c>
      <c r="E74" s="166">
        <f>'17-Depreciation'!C51</f>
        <v>0</v>
      </c>
      <c r="F74" s="166">
        <f>'17-Depreciation'!D51</f>
        <v>225602.44091989286</v>
      </c>
      <c r="G74" s="166">
        <f>'17-Depreciation'!E51</f>
        <v>1007134.2313849287</v>
      </c>
      <c r="H74" s="166">
        <f>'17-Depreciation'!F51</f>
        <v>6295913.0519306241</v>
      </c>
      <c r="I74" s="166">
        <f>'17-Depreciation'!G51</f>
        <v>4375765.670350899</v>
      </c>
      <c r="J74" s="166">
        <f>'17-Depreciation'!H51</f>
        <v>959033.33577828633</v>
      </c>
      <c r="K74" s="166">
        <f>'17-Depreciation'!I51</f>
        <v>3158034.6581515786</v>
      </c>
      <c r="L74" s="166">
        <f>'17-Depreciation'!J51</f>
        <v>304.45075568615761</v>
      </c>
      <c r="M74" s="166">
        <f>'17-Depreciation'!K51</f>
        <v>41978.363122232979</v>
      </c>
      <c r="N74" s="166">
        <f>'17-Depreciation'!L51</f>
        <v>243946.59053604017</v>
      </c>
      <c r="O74" s="133">
        <f t="shared" si="13"/>
        <v>16307712.792930165</v>
      </c>
    </row>
    <row r="75" spans="2:19" s="142" customFormat="1" x14ac:dyDescent="0.25">
      <c r="B75" s="130">
        <f t="shared" si="14"/>
        <v>30</v>
      </c>
      <c r="C75" s="121"/>
      <c r="D75" s="134" t="str">
        <f t="shared" si="15"/>
        <v>Apr 2016</v>
      </c>
      <c r="E75" s="166">
        <f>'17-Depreciation'!C52</f>
        <v>0</v>
      </c>
      <c r="F75" s="166">
        <f>'17-Depreciation'!D52</f>
        <v>225694.47100862031</v>
      </c>
      <c r="G75" s="166">
        <f>'17-Depreciation'!E52</f>
        <v>1020374.7412884677</v>
      </c>
      <c r="H75" s="166">
        <f>'17-Depreciation'!F52</f>
        <v>6332758.0081657292</v>
      </c>
      <c r="I75" s="166">
        <f>'17-Depreciation'!G52</f>
        <v>4373027.8876001127</v>
      </c>
      <c r="J75" s="166">
        <f>'17-Depreciation'!H52</f>
        <v>965190.28206318954</v>
      </c>
      <c r="K75" s="166">
        <f>'17-Depreciation'!I52</f>
        <v>3165449.5461575598</v>
      </c>
      <c r="L75" s="166">
        <f>'17-Depreciation'!J52</f>
        <v>304.45085180641018</v>
      </c>
      <c r="M75" s="166">
        <f>'17-Depreciation'!K52</f>
        <v>41990.094826965513</v>
      </c>
      <c r="N75" s="166">
        <f>'17-Depreciation'!L52</f>
        <v>247260.25816672342</v>
      </c>
      <c r="O75" s="133">
        <f t="shared" si="13"/>
        <v>16372049.740129173</v>
      </c>
    </row>
    <row r="76" spans="2:19" s="142" customFormat="1" x14ac:dyDescent="0.25">
      <c r="B76" s="130">
        <f t="shared" si="14"/>
        <v>31</v>
      </c>
      <c r="C76" s="121"/>
      <c r="D76" s="134" t="str">
        <f t="shared" si="15"/>
        <v>May 2016</v>
      </c>
      <c r="E76" s="166">
        <f>'17-Depreciation'!C53</f>
        <v>0</v>
      </c>
      <c r="F76" s="166">
        <f>'17-Depreciation'!D53</f>
        <v>225756.69193343419</v>
      </c>
      <c r="G76" s="166">
        <f>'17-Depreciation'!E53</f>
        <v>1052433.6541380894</v>
      </c>
      <c r="H76" s="166">
        <f>'17-Depreciation'!F53</f>
        <v>6359122.4206836661</v>
      </c>
      <c r="I76" s="166">
        <f>'17-Depreciation'!G53</f>
        <v>4383625.5826376835</v>
      </c>
      <c r="J76" s="166">
        <f>'17-Depreciation'!H53</f>
        <v>968841.60833036853</v>
      </c>
      <c r="K76" s="166">
        <f>'17-Depreciation'!I53</f>
        <v>3166758.4248763383</v>
      </c>
      <c r="L76" s="166">
        <f>'17-Depreciation'!J53</f>
        <v>304.45907217835946</v>
      </c>
      <c r="M76" s="166">
        <f>'17-Depreciation'!K53</f>
        <v>47521.050717346465</v>
      </c>
      <c r="N76" s="166">
        <f>'17-Depreciation'!L53</f>
        <v>247770.74355876318</v>
      </c>
      <c r="O76" s="133">
        <f t="shared" si="13"/>
        <v>16452134.635947866</v>
      </c>
    </row>
    <row r="77" spans="2:19" s="142" customFormat="1" x14ac:dyDescent="0.25">
      <c r="B77" s="130">
        <f t="shared" si="14"/>
        <v>32</v>
      </c>
      <c r="C77" s="121"/>
      <c r="D77" s="134" t="str">
        <f t="shared" si="15"/>
        <v>Jun 2016</v>
      </c>
      <c r="E77" s="166">
        <f>'17-Depreciation'!C54</f>
        <v>0</v>
      </c>
      <c r="F77" s="166">
        <f>'17-Depreciation'!D54</f>
        <v>225766.7728267796</v>
      </c>
      <c r="G77" s="166">
        <f>'17-Depreciation'!E54</f>
        <v>1053421.9414383643</v>
      </c>
      <c r="H77" s="166">
        <f>'17-Depreciation'!F54</f>
        <v>6361734.3859366933</v>
      </c>
      <c r="I77" s="166">
        <f>'17-Depreciation'!G54</f>
        <v>4370279.4528649552</v>
      </c>
      <c r="J77" s="166">
        <f>'17-Depreciation'!H54</f>
        <v>971124.7435617334</v>
      </c>
      <c r="K77" s="166">
        <f>'17-Depreciation'!I54</f>
        <v>3167634.0336603057</v>
      </c>
      <c r="L77" s="166">
        <f>'17-Depreciation'!J54</f>
        <v>304.45992006836337</v>
      </c>
      <c r="M77" s="166">
        <f>'17-Depreciation'!K54</f>
        <v>48643.772078519287</v>
      </c>
      <c r="N77" s="166">
        <f>'17-Depreciation'!L54</f>
        <v>248325.4964492156</v>
      </c>
      <c r="O77" s="133">
        <f t="shared" si="13"/>
        <v>16447235.058736637</v>
      </c>
    </row>
    <row r="78" spans="2:19" s="142" customFormat="1" x14ac:dyDescent="0.25">
      <c r="B78" s="130">
        <f t="shared" si="14"/>
        <v>33</v>
      </c>
      <c r="C78" s="121"/>
      <c r="D78" s="134" t="str">
        <f t="shared" si="15"/>
        <v>Jul 2016</v>
      </c>
      <c r="E78" s="166">
        <f>'17-Depreciation'!C55</f>
        <v>0</v>
      </c>
      <c r="F78" s="166">
        <f>'17-Depreciation'!D55</f>
        <v>225460.22911005083</v>
      </c>
      <c r="G78" s="166">
        <f>'17-Depreciation'!E55</f>
        <v>1062404.7198685934</v>
      </c>
      <c r="H78" s="166">
        <f>'17-Depreciation'!F55</f>
        <v>6422507.4456291338</v>
      </c>
      <c r="I78" s="166">
        <f>'17-Depreciation'!G55</f>
        <v>4494709.5161926895</v>
      </c>
      <c r="J78" s="166">
        <f>'17-Depreciation'!H55</f>
        <v>973926.41968384525</v>
      </c>
      <c r="K78" s="166">
        <f>'17-Depreciation'!I55</f>
        <v>3170082.610571966</v>
      </c>
      <c r="L78" s="166">
        <f>'17-Depreciation'!J55</f>
        <v>304.47140405474539</v>
      </c>
      <c r="M78" s="166">
        <f>'17-Depreciation'!K55</f>
        <v>48848.064957530907</v>
      </c>
      <c r="N78" s="166">
        <f>'17-Depreciation'!L55</f>
        <v>249834.11555100439</v>
      </c>
      <c r="O78" s="133">
        <f t="shared" si="13"/>
        <v>16648077.59296887</v>
      </c>
    </row>
    <row r="79" spans="2:19" s="142" customFormat="1" x14ac:dyDescent="0.25">
      <c r="B79" s="130">
        <f t="shared" si="14"/>
        <v>34</v>
      </c>
      <c r="C79" s="121"/>
      <c r="D79" s="134" t="str">
        <f t="shared" si="15"/>
        <v>Aug 2016</v>
      </c>
      <c r="E79" s="166">
        <f>'17-Depreciation'!C56</f>
        <v>0</v>
      </c>
      <c r="F79" s="166">
        <f>'17-Depreciation'!D56</f>
        <v>225469.68924774564</v>
      </c>
      <c r="G79" s="166">
        <f>'17-Depreciation'!E56</f>
        <v>1073549.2487121322</v>
      </c>
      <c r="H79" s="166">
        <f>'17-Depreciation'!F56</f>
        <v>6526692.8914938243</v>
      </c>
      <c r="I79" s="166">
        <f>'17-Depreciation'!G56</f>
        <v>4499135.0878472412</v>
      </c>
      <c r="J79" s="166">
        <f>'17-Depreciation'!H56</f>
        <v>975999.27373322798</v>
      </c>
      <c r="K79" s="166">
        <f>'17-Depreciation'!I56</f>
        <v>3170272.3668242185</v>
      </c>
      <c r="L79" s="166">
        <f>'17-Depreciation'!J56</f>
        <v>304.47355185389705</v>
      </c>
      <c r="M79" s="166">
        <f>'17-Depreciation'!K56</f>
        <v>48858.186520504503</v>
      </c>
      <c r="N79" s="166">
        <f>'17-Depreciation'!L56</f>
        <v>250178.70147308972</v>
      </c>
      <c r="O79" s="133">
        <f t="shared" si="13"/>
        <v>16770459.919403838</v>
      </c>
    </row>
    <row r="80" spans="2:19" s="142" customFormat="1" x14ac:dyDescent="0.25">
      <c r="B80" s="130">
        <f t="shared" si="14"/>
        <v>35</v>
      </c>
      <c r="C80" s="121"/>
      <c r="D80" s="134" t="str">
        <f t="shared" si="15"/>
        <v>Sept 2016</v>
      </c>
      <c r="E80" s="166">
        <f>'17-Depreciation'!C57</f>
        <v>0</v>
      </c>
      <c r="F80" s="166">
        <f>'17-Depreciation'!D57</f>
        <v>225492.18546291921</v>
      </c>
      <c r="G80" s="166">
        <f>'17-Depreciation'!E57</f>
        <v>1073073.9345191496</v>
      </c>
      <c r="H80" s="166">
        <f>'17-Depreciation'!F57</f>
        <v>6527124.2856593318</v>
      </c>
      <c r="I80" s="166">
        <f>'17-Depreciation'!G57</f>
        <v>4530843.7498756265</v>
      </c>
      <c r="J80" s="166">
        <f>'17-Depreciation'!H57</f>
        <v>977795.61832006031</v>
      </c>
      <c r="K80" s="166">
        <f>'17-Depreciation'!I57</f>
        <v>3155449.0582343843</v>
      </c>
      <c r="L80" s="166">
        <f>'17-Depreciation'!J57</f>
        <v>304.47589046277523</v>
      </c>
      <c r="M80" s="166">
        <f>'17-Depreciation'!K57</f>
        <v>48846.147687376208</v>
      </c>
      <c r="N80" s="166">
        <f>'17-Depreciation'!L57</f>
        <v>231985.84983574858</v>
      </c>
      <c r="O80" s="133">
        <f t="shared" si="13"/>
        <v>16770915.305485059</v>
      </c>
    </row>
    <row r="81" spans="2:15" s="142" customFormat="1" x14ac:dyDescent="0.25">
      <c r="B81" s="130">
        <f t="shared" si="14"/>
        <v>36</v>
      </c>
      <c r="C81" s="121"/>
      <c r="D81" s="134" t="str">
        <f t="shared" si="15"/>
        <v>Oct 2016</v>
      </c>
      <c r="E81" s="166">
        <f>'17-Depreciation'!C58</f>
        <v>0</v>
      </c>
      <c r="F81" s="166">
        <f>'17-Depreciation'!D58</f>
        <v>228525.63861875562</v>
      </c>
      <c r="G81" s="166">
        <f>'17-Depreciation'!E58</f>
        <v>1076670.3308589796</v>
      </c>
      <c r="H81" s="166">
        <f>'17-Depreciation'!F58</f>
        <v>6534473.676840757</v>
      </c>
      <c r="I81" s="166">
        <f>'17-Depreciation'!G58</f>
        <v>4529435.8456503255</v>
      </c>
      <c r="J81" s="166">
        <f>'17-Depreciation'!H58</f>
        <v>980011.77037426771</v>
      </c>
      <c r="K81" s="166">
        <f>'17-Depreciation'!I58</f>
        <v>3164515.1364059169</v>
      </c>
      <c r="L81" s="166">
        <f>'17-Depreciation'!J58</f>
        <v>245461.59467159308</v>
      </c>
      <c r="M81" s="166">
        <f>'17-Depreciation'!K58</f>
        <v>249884.52926724215</v>
      </c>
      <c r="N81" s="166">
        <f>'17-Depreciation'!L58</f>
        <v>231959.21612079532</v>
      </c>
      <c r="O81" s="133">
        <f t="shared" si="13"/>
        <v>17240937.738808632</v>
      </c>
    </row>
    <row r="82" spans="2:15" s="142" customFormat="1" x14ac:dyDescent="0.25">
      <c r="B82" s="130">
        <f t="shared" si="14"/>
        <v>37</v>
      </c>
      <c r="C82" s="121"/>
      <c r="D82" s="134" t="str">
        <f t="shared" si="15"/>
        <v>Nov 2016</v>
      </c>
      <c r="E82" s="166">
        <f>'17-Depreciation'!C59</f>
        <v>0</v>
      </c>
      <c r="F82" s="166">
        <f>'17-Depreciation'!D59</f>
        <v>228661.53820261138</v>
      </c>
      <c r="G82" s="166">
        <f>'17-Depreciation'!E59</f>
        <v>1108667.1642615672</v>
      </c>
      <c r="H82" s="166">
        <f>'17-Depreciation'!F59</f>
        <v>6563759.8903742395</v>
      </c>
      <c r="I82" s="166">
        <f>'17-Depreciation'!G59</f>
        <v>4537719.2950346982</v>
      </c>
      <c r="J82" s="166">
        <f>'17-Depreciation'!H59</f>
        <v>982673.48835581529</v>
      </c>
      <c r="K82" s="166">
        <f>'17-Depreciation'!I59</f>
        <v>3180784.0266526341</v>
      </c>
      <c r="L82" s="166">
        <f>'17-Depreciation'!J59</f>
        <v>248726.70802758439</v>
      </c>
      <c r="M82" s="166">
        <f>'17-Depreciation'!K59</f>
        <v>259133.69849849309</v>
      </c>
      <c r="N82" s="166">
        <f>'17-Depreciation'!L59</f>
        <v>232803.7062205761</v>
      </c>
      <c r="O82" s="133">
        <f t="shared" si="13"/>
        <v>17342929.515628219</v>
      </c>
    </row>
    <row r="83" spans="2:15" s="142" customFormat="1" x14ac:dyDescent="0.25">
      <c r="B83" s="130">
        <f t="shared" si="14"/>
        <v>38</v>
      </c>
      <c r="C83" s="121"/>
      <c r="D83" s="134" t="str">
        <f t="shared" si="15"/>
        <v>Dec 2016</v>
      </c>
      <c r="E83" s="166">
        <f>'17-Depreciation'!C60</f>
        <v>0</v>
      </c>
      <c r="F83" s="166">
        <f>'17-Depreciation'!D60</f>
        <v>228699.72757332303</v>
      </c>
      <c r="G83" s="166">
        <f>'17-Depreciation'!E60</f>
        <v>1115083.0177765409</v>
      </c>
      <c r="H83" s="166">
        <f>'17-Depreciation'!F60</f>
        <v>6589420.3341492666</v>
      </c>
      <c r="I83" s="166">
        <f>'17-Depreciation'!G60</f>
        <v>4514050.939002092</v>
      </c>
      <c r="J83" s="166">
        <f>'17-Depreciation'!H60</f>
        <v>985153.70687446324</v>
      </c>
      <c r="K83" s="166">
        <f>'17-Depreciation'!I60</f>
        <v>3180668.235004276</v>
      </c>
      <c r="L83" s="166">
        <f>'17-Depreciation'!J60</f>
        <v>253493.40597844089</v>
      </c>
      <c r="M83" s="166">
        <f>'17-Depreciation'!K60</f>
        <v>263000.45846956351</v>
      </c>
      <c r="N83" s="166">
        <f>'17-Depreciation'!L60</f>
        <v>233073.15865286867</v>
      </c>
      <c r="O83" s="133">
        <f t="shared" si="13"/>
        <v>17362642.983480833</v>
      </c>
    </row>
    <row r="84" spans="2:15" s="142" customFormat="1" x14ac:dyDescent="0.25">
      <c r="B84" s="130">
        <f t="shared" si="14"/>
        <v>39</v>
      </c>
      <c r="C84" s="121"/>
      <c r="D84" s="136" t="s">
        <v>71</v>
      </c>
      <c r="E84" s="184">
        <f t="shared" ref="E84:N84" si="16">SUM(E72:E83)</f>
        <v>0</v>
      </c>
      <c r="F84" s="184">
        <f t="shared" si="16"/>
        <v>2716320.0201970846</v>
      </c>
      <c r="G84" s="184">
        <f t="shared" si="16"/>
        <v>12673639.860952852</v>
      </c>
      <c r="H84" s="184">
        <f t="shared" si="16"/>
        <v>77004328.040414661</v>
      </c>
      <c r="I84" s="184">
        <f t="shared" si="16"/>
        <v>53381362.598159023</v>
      </c>
      <c r="J84" s="184">
        <f t="shared" si="16"/>
        <v>11645538.874716848</v>
      </c>
      <c r="K84" s="184">
        <f t="shared" si="16"/>
        <v>37986122.319140188</v>
      </c>
      <c r="L84" s="184">
        <f t="shared" si="16"/>
        <v>750421.84849644429</v>
      </c>
      <c r="M84" s="184">
        <f t="shared" si="16"/>
        <v>1182645.3452835996</v>
      </c>
      <c r="N84" s="184">
        <f t="shared" si="16"/>
        <v>2903907.287249567</v>
      </c>
      <c r="O84" s="184">
        <f t="shared" si="13"/>
        <v>200244286.19461027</v>
      </c>
    </row>
    <row r="86" spans="2:15" s="142" customFormat="1" x14ac:dyDescent="0.25">
      <c r="B86" s="121"/>
      <c r="C86" s="121"/>
      <c r="D86" s="140" t="s">
        <v>116</v>
      </c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</row>
    <row r="87" spans="2:15" s="142" customFormat="1" x14ac:dyDescent="0.25">
      <c r="B87" s="121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</row>
    <row r="88" spans="2:15" s="142" customFormat="1" x14ac:dyDescent="0.25">
      <c r="B88" s="121"/>
      <c r="C88" s="121"/>
      <c r="D88" s="129" t="s">
        <v>5</v>
      </c>
      <c r="E88" s="129" t="s">
        <v>6</v>
      </c>
      <c r="F88" s="129" t="s">
        <v>7</v>
      </c>
      <c r="G88" s="129" t="s">
        <v>8</v>
      </c>
      <c r="H88" s="129" t="s">
        <v>9</v>
      </c>
      <c r="I88" s="129" t="s">
        <v>10</v>
      </c>
      <c r="J88" s="129" t="s">
        <v>11</v>
      </c>
      <c r="K88" s="129" t="s">
        <v>12</v>
      </c>
      <c r="L88" s="129" t="s">
        <v>13</v>
      </c>
      <c r="M88" s="129" t="s">
        <v>14</v>
      </c>
      <c r="N88" s="129" t="s">
        <v>15</v>
      </c>
      <c r="O88" s="124"/>
    </row>
    <row r="89" spans="2:15" s="142" customFormat="1" x14ac:dyDescent="0.25">
      <c r="B89" s="121"/>
      <c r="C89" s="121"/>
      <c r="D89" s="126"/>
      <c r="E89" s="118"/>
      <c r="F89" s="118"/>
      <c r="G89" s="118"/>
      <c r="H89" s="118"/>
      <c r="I89" s="118"/>
      <c r="J89" s="118"/>
      <c r="K89" s="118"/>
      <c r="L89" s="118"/>
      <c r="M89" s="118"/>
      <c r="N89" s="121"/>
      <c r="O89" s="126"/>
    </row>
    <row r="90" spans="2:15" s="142" customFormat="1" x14ac:dyDescent="0.25">
      <c r="B90" s="121"/>
      <c r="C90" s="121"/>
      <c r="D90" s="214" t="s">
        <v>19</v>
      </c>
      <c r="E90" s="215">
        <v>350.1</v>
      </c>
      <c r="F90" s="215">
        <v>350.2</v>
      </c>
      <c r="G90" s="215">
        <v>352</v>
      </c>
      <c r="H90" s="215">
        <v>353</v>
      </c>
      <c r="I90" s="215">
        <v>354</v>
      </c>
      <c r="J90" s="215">
        <v>355</v>
      </c>
      <c r="K90" s="215">
        <v>356</v>
      </c>
      <c r="L90" s="215">
        <v>357</v>
      </c>
      <c r="M90" s="215">
        <v>358</v>
      </c>
      <c r="N90" s="215">
        <v>359</v>
      </c>
      <c r="O90" s="144"/>
    </row>
    <row r="91" spans="2:15" s="142" customFormat="1" x14ac:dyDescent="0.25">
      <c r="B91" s="130">
        <f>B84+1</f>
        <v>40</v>
      </c>
      <c r="C91" s="121"/>
      <c r="D91" s="134" t="str">
        <f>D72</f>
        <v>Jan 2016</v>
      </c>
      <c r="E91" s="208">
        <f>'6-PlantInService'!D168</f>
        <v>0.9957816370153405</v>
      </c>
      <c r="F91" s="208">
        <f>'6-PlantInService'!E168</f>
        <v>1.0319438609181216E-2</v>
      </c>
      <c r="G91" s="208">
        <f>'6-PlantInService'!F168</f>
        <v>0.11795216177244006</v>
      </c>
      <c r="H91" s="208">
        <f>'6-PlantInService'!G168</f>
        <v>4.652532572704466E-2</v>
      </c>
      <c r="I91" s="208">
        <f>'6-PlantInService'!H168</f>
        <v>-0.91741561703990493</v>
      </c>
      <c r="J91" s="208">
        <f>'6-PlantInService'!I168</f>
        <v>6.5562842677338987E-2</v>
      </c>
      <c r="K91" s="208">
        <f>'6-PlantInService'!J168</f>
        <v>0.32047540733159108</v>
      </c>
      <c r="L91" s="208">
        <f>'6-PlantInService'!K168</f>
        <v>0.13706970789505754</v>
      </c>
      <c r="M91" s="208">
        <f>'6-PlantInService'!L168</f>
        <v>5.4440189594199197E-2</v>
      </c>
      <c r="N91" s="208">
        <f>'6-PlantInService'!M168</f>
        <v>-2.7733993386472068E-3</v>
      </c>
      <c r="O91" s="133"/>
    </row>
    <row r="92" spans="2:15" s="142" customFormat="1" x14ac:dyDescent="0.25">
      <c r="B92" s="130">
        <f t="shared" ref="B92:B102" si="17">B91+1</f>
        <v>41</v>
      </c>
      <c r="C92" s="121"/>
      <c r="D92" s="134" t="str">
        <f t="shared" ref="D92:D102" si="18">D73</f>
        <v>Feb 2016</v>
      </c>
      <c r="E92" s="208">
        <f>'6-PlantInService'!D169</f>
        <v>6.6906708122538695E-4</v>
      </c>
      <c r="F92" s="208">
        <f>'6-PlantInService'!E169</f>
        <v>-2.0237714609233921E-3</v>
      </c>
      <c r="G92" s="208">
        <f>'6-PlantInService'!F169</f>
        <v>1.7970092673652054E-2</v>
      </c>
      <c r="H92" s="208">
        <f>'6-PlantInService'!G169</f>
        <v>2.2961969437865843E-2</v>
      </c>
      <c r="I92" s="208">
        <f>'6-PlantInService'!H169</f>
        <v>-1.7318823790504095E-3</v>
      </c>
      <c r="J92" s="208">
        <f>'6-PlantInService'!I169</f>
        <v>7.1741526976804318E-2</v>
      </c>
      <c r="K92" s="208">
        <f>'6-PlantInService'!J169</f>
        <v>7.9614071781197535E-3</v>
      </c>
      <c r="L92" s="208">
        <f>'6-PlantInService'!K169</f>
        <v>-3.6471769988975942E-3</v>
      </c>
      <c r="M92" s="208">
        <f>'6-PlantInService'!L169</f>
        <v>3.3044120314896668E-3</v>
      </c>
      <c r="N92" s="208">
        <f>'6-PlantInService'!M169</f>
        <v>3.4744406952741955E-4</v>
      </c>
      <c r="O92" s="133"/>
    </row>
    <row r="93" spans="2:15" s="142" customFormat="1" x14ac:dyDescent="0.25">
      <c r="B93" s="130">
        <f t="shared" si="17"/>
        <v>42</v>
      </c>
      <c r="C93" s="121"/>
      <c r="D93" s="134" t="str">
        <f t="shared" si="18"/>
        <v>Mar 2016</v>
      </c>
      <c r="E93" s="208">
        <f>'6-PlantInService'!D170</f>
        <v>-1.1252332179656581E-3</v>
      </c>
      <c r="F93" s="208">
        <f>'6-PlantInService'!E170</f>
        <v>4.0515299835565295E-2</v>
      </c>
      <c r="G93" s="208">
        <f>'6-PlantInService'!F170</f>
        <v>0.10086294565502936</v>
      </c>
      <c r="H93" s="208">
        <f>'6-PlantInService'!G170</f>
        <v>0.10284560896518398</v>
      </c>
      <c r="I93" s="208">
        <f>'6-PlantInService'!H170</f>
        <v>-0.10920485362807174</v>
      </c>
      <c r="J93" s="208">
        <f>'6-PlantInService'!I170</f>
        <v>0.17010764179262244</v>
      </c>
      <c r="K93" s="208">
        <f>'6-PlantInService'!J170</f>
        <v>0.32699765152839083</v>
      </c>
      <c r="L93" s="208">
        <f>'6-PlantInService'!K170</f>
        <v>3.9743239237053311E-3</v>
      </c>
      <c r="M93" s="208">
        <f>'6-PlantInService'!L170</f>
        <v>4.5481942731656226E-2</v>
      </c>
      <c r="N93" s="208">
        <f>'6-PlantInService'!M170</f>
        <v>0.55669688147099239</v>
      </c>
      <c r="O93" s="133"/>
    </row>
    <row r="94" spans="2:15" s="142" customFormat="1" x14ac:dyDescent="0.25">
      <c r="B94" s="130">
        <f t="shared" si="17"/>
        <v>43</v>
      </c>
      <c r="C94" s="121"/>
      <c r="D94" s="134" t="str">
        <f t="shared" si="18"/>
        <v>Apr 2016</v>
      </c>
      <c r="E94" s="208">
        <f>'6-PlantInService'!D171</f>
        <v>6.1739610271194321E-4</v>
      </c>
      <c r="F94" s="208">
        <f>'6-PlantInService'!E171</f>
        <v>2.4477417464539484E-3</v>
      </c>
      <c r="G94" s="208">
        <f>'6-PlantInService'!F171</f>
        <v>0.27744095213051329</v>
      </c>
      <c r="H94" s="208">
        <f>'6-PlantInService'!G171</f>
        <v>5.9640251917857892E-2</v>
      </c>
      <c r="I94" s="208">
        <f>'6-PlantInService'!H171</f>
        <v>0.19665046494765789</v>
      </c>
      <c r="J94" s="208">
        <f>'6-PlantInService'!I171</f>
        <v>8.8442215998670276E-2</v>
      </c>
      <c r="K94" s="208">
        <f>'6-PlantInService'!J171</f>
        <v>-8.0091485241429432E-3</v>
      </c>
      <c r="L94" s="208">
        <f>'6-PlantInService'!K171</f>
        <v>0.33989112621035844</v>
      </c>
      <c r="M94" s="208">
        <f>'6-PlantInService'!L171</f>
        <v>0.26452396231320013</v>
      </c>
      <c r="N94" s="208">
        <f>'6-PlantInService'!M171</f>
        <v>2.6501709937064109E-2</v>
      </c>
      <c r="O94" s="133"/>
    </row>
    <row r="95" spans="2:15" s="142" customFormat="1" x14ac:dyDescent="0.25">
      <c r="B95" s="130">
        <f t="shared" si="17"/>
        <v>44</v>
      </c>
      <c r="C95" s="121"/>
      <c r="D95" s="134" t="str">
        <f t="shared" si="18"/>
        <v>May 2016</v>
      </c>
      <c r="E95" s="208">
        <f>'6-PlantInService'!D172</f>
        <v>-6.1670600617260189E-4</v>
      </c>
      <c r="F95" s="208">
        <f>'6-PlantInService'!E172</f>
        <v>4.1596973825938858E-3</v>
      </c>
      <c r="G95" s="208">
        <f>'6-PlantInService'!F172</f>
        <v>8.4218485443015387E-3</v>
      </c>
      <c r="H95" s="208">
        <f>'6-PlantInService'!G172</f>
        <v>8.2493614802687919E-3</v>
      </c>
      <c r="I95" s="208">
        <f>'6-PlantInService'!H172</f>
        <v>-0.42995936469146467</v>
      </c>
      <c r="J95" s="208">
        <f>'6-PlantInService'!I172</f>
        <v>5.8183152499488459E-2</v>
      </c>
      <c r="K95" s="208">
        <f>'6-PlantInService'!J172</f>
        <v>1.6216039075593894E-2</v>
      </c>
      <c r="L95" s="208">
        <f>'6-PlantInService'!K172</f>
        <v>3.5058059428446142E-2</v>
      </c>
      <c r="M95" s="208">
        <f>'6-PlantInService'!L172</f>
        <v>5.1021396416655367E-2</v>
      </c>
      <c r="N95" s="208">
        <f>'6-PlantInService'!M172</f>
        <v>6.3782061870306647E-2</v>
      </c>
      <c r="O95" s="133"/>
    </row>
    <row r="96" spans="2:15" s="142" customFormat="1" x14ac:dyDescent="0.25">
      <c r="B96" s="130">
        <f t="shared" si="17"/>
        <v>45</v>
      </c>
      <c r="C96" s="121"/>
      <c r="D96" s="134" t="str">
        <f t="shared" si="18"/>
        <v>Jun 2016</v>
      </c>
      <c r="E96" s="208">
        <f>'6-PlantInService'!D173</f>
        <v>-8.1900903948602588E-4</v>
      </c>
      <c r="F96" s="208">
        <f>'6-PlantInService'!E173</f>
        <v>-0.45822153853021658</v>
      </c>
      <c r="G96" s="208">
        <f>'6-PlantInService'!F173</f>
        <v>6.7291937803818785E-2</v>
      </c>
      <c r="H96" s="208">
        <f>'6-PlantInService'!G173</f>
        <v>0.17082338984956019</v>
      </c>
      <c r="I96" s="208">
        <f>'6-PlantInService'!H173</f>
        <v>3.3739393889215257</v>
      </c>
      <c r="J96" s="208">
        <f>'6-PlantInService'!I173</f>
        <v>0.12490942617689244</v>
      </c>
      <c r="K96" s="208">
        <f>'6-PlantInService'!J173</f>
        <v>5.608559441623482E-2</v>
      </c>
      <c r="L96" s="208">
        <f>'6-PlantInService'!K173</f>
        <v>0.47483314488061068</v>
      </c>
      <c r="M96" s="208">
        <f>'6-PlantInService'!L173</f>
        <v>0.77577479181824949</v>
      </c>
      <c r="N96" s="208">
        <f>'6-PlantInService'!M173</f>
        <v>0.18564964117503321</v>
      </c>
      <c r="O96" s="133"/>
    </row>
    <row r="97" spans="2:15" s="142" customFormat="1" x14ac:dyDescent="0.25">
      <c r="B97" s="130">
        <f t="shared" si="17"/>
        <v>46</v>
      </c>
      <c r="C97" s="121"/>
      <c r="D97" s="134" t="str">
        <f t="shared" si="18"/>
        <v>Jul 2016</v>
      </c>
      <c r="E97" s="208">
        <f>'6-PlantInService'!D174</f>
        <v>3.5218645659253378E-3</v>
      </c>
      <c r="F97" s="208">
        <f>'6-PlantInService'!E174</f>
        <v>2.0134906353649943E-3</v>
      </c>
      <c r="G97" s="208">
        <f>'6-PlantInService'!F174</f>
        <v>8.4845999013100984E-2</v>
      </c>
      <c r="H97" s="208">
        <f>'6-PlantInService'!G174</f>
        <v>0.29156701050323358</v>
      </c>
      <c r="I97" s="208">
        <f>'6-PlantInService'!H174</f>
        <v>9.6357466796652178E-2</v>
      </c>
      <c r="J97" s="208">
        <f>'6-PlantInService'!I174</f>
        <v>5.3282883942297847E-2</v>
      </c>
      <c r="K97" s="208">
        <f>'6-PlantInService'!J174</f>
        <v>-2.716719488789314E-2</v>
      </c>
      <c r="L97" s="208">
        <f>'6-PlantInService'!K174</f>
        <v>8.8805941753513404E-2</v>
      </c>
      <c r="M97" s="208">
        <f>'6-PlantInService'!L174</f>
        <v>3.1819263446328669E-2</v>
      </c>
      <c r="N97" s="208">
        <f>'6-PlantInService'!M174</f>
        <v>2.2295887245356326E-2</v>
      </c>
      <c r="O97" s="133"/>
    </row>
    <row r="98" spans="2:15" s="142" customFormat="1" x14ac:dyDescent="0.25">
      <c r="B98" s="130">
        <f t="shared" si="17"/>
        <v>47</v>
      </c>
      <c r="C98" s="121"/>
      <c r="D98" s="134" t="str">
        <f t="shared" si="18"/>
        <v>Aug 2016</v>
      </c>
      <c r="E98" s="208">
        <f>'6-PlantInService'!D175</f>
        <v>1.1057626369935813E-3</v>
      </c>
      <c r="F98" s="208">
        <f>'6-PlantInService'!E175</f>
        <v>8.8949399450011356E-3</v>
      </c>
      <c r="G98" s="208">
        <f>'6-PlantInService'!F175</f>
        <v>-7.7602649096751228E-3</v>
      </c>
      <c r="H98" s="208">
        <f>'6-PlantInService'!G175</f>
        <v>2.2013738391290405E-3</v>
      </c>
      <c r="I98" s="208">
        <f>'6-PlantInService'!H175</f>
        <v>-0.2064798687683739</v>
      </c>
      <c r="J98" s="208">
        <f>'6-PlantInService'!I175</f>
        <v>7.0081619764482322E-2</v>
      </c>
      <c r="K98" s="208">
        <f>'6-PlantInService'!J175</f>
        <v>1.4339830918770606E-2</v>
      </c>
      <c r="L98" s="208">
        <f>'6-PlantInService'!K175</f>
        <v>9.6695430605051466E-2</v>
      </c>
      <c r="M98" s="208">
        <f>'6-PlantInService'!L175</f>
        <v>-3.6095628936954345E-2</v>
      </c>
      <c r="N98" s="208">
        <f>'6-PlantInService'!M175</f>
        <v>-1.3108449137511687E-3</v>
      </c>
      <c r="O98" s="133"/>
    </row>
    <row r="99" spans="2:15" s="142" customFormat="1" x14ac:dyDescent="0.25">
      <c r="B99" s="130">
        <f t="shared" si="17"/>
        <v>48</v>
      </c>
      <c r="C99" s="121"/>
      <c r="D99" s="134" t="str">
        <f t="shared" si="18"/>
        <v>Sept 2016</v>
      </c>
      <c r="E99" s="208">
        <f>'6-PlantInService'!D176</f>
        <v>8.6522086142988292E-4</v>
      </c>
      <c r="F99" s="208">
        <f>'6-PlantInService'!E176</f>
        <v>1.3354575691587487</v>
      </c>
      <c r="G99" s="208">
        <f>'6-PlantInService'!F176</f>
        <v>6.4788253225260793E-3</v>
      </c>
      <c r="H99" s="208">
        <f>'6-PlantInService'!G176</f>
        <v>2.022691856590933E-2</v>
      </c>
      <c r="I99" s="208">
        <f>'6-PlantInService'!H176</f>
        <v>-8.1299799408000001E-2</v>
      </c>
      <c r="J99" s="208">
        <f>'6-PlantInService'!I176</f>
        <v>7.190660858504147E-2</v>
      </c>
      <c r="K99" s="208">
        <f>'6-PlantInService'!J176</f>
        <v>0.25906472374628647</v>
      </c>
      <c r="L99" s="208">
        <f>'6-PlantInService'!K176</f>
        <v>0.12315866055193762</v>
      </c>
      <c r="M99" s="208">
        <f>'6-PlantInService'!L176</f>
        <v>1.3589558620028039E-2</v>
      </c>
      <c r="N99" s="208">
        <f>'6-PlantInService'!M176</f>
        <v>5.7165524926724933E-4</v>
      </c>
      <c r="O99" s="133"/>
    </row>
    <row r="100" spans="2:15" s="142" customFormat="1" x14ac:dyDescent="0.25">
      <c r="B100" s="130">
        <f t="shared" si="17"/>
        <v>49</v>
      </c>
      <c r="C100" s="121"/>
      <c r="D100" s="134" t="str">
        <f t="shared" si="18"/>
        <v>Oct 2016</v>
      </c>
      <c r="E100" s="208">
        <f>'6-PlantInService'!D177</f>
        <v>-6.8860980781259773E-15</v>
      </c>
      <c r="F100" s="208">
        <f>'6-PlantInService'!E177</f>
        <v>4.9881929538211155E-2</v>
      </c>
      <c r="G100" s="208">
        <f>'6-PlantInService'!F177</f>
        <v>0.24349568636309277</v>
      </c>
      <c r="H100" s="208">
        <f>'6-PlantInService'!G177</f>
        <v>8.8908042178306501E-2</v>
      </c>
      <c r="I100" s="208">
        <f>'6-PlantInService'!H177</f>
        <v>-0.20240108776745291</v>
      </c>
      <c r="J100" s="208">
        <f>'6-PlantInService'!I177</f>
        <v>6.3084613652862692E-2</v>
      </c>
      <c r="K100" s="208">
        <f>'6-PlantInService'!J177</f>
        <v>5.2901013036619933E-2</v>
      </c>
      <c r="L100" s="208">
        <f>'6-PlantInService'!K177</f>
        <v>-0.90081580478781431</v>
      </c>
      <c r="M100" s="208">
        <f>'6-PlantInService'!L177</f>
        <v>-2.4894448944522429E-2</v>
      </c>
      <c r="N100" s="208">
        <f>'6-PlantInService'!M177</f>
        <v>-6.1148085806935412E-3</v>
      </c>
      <c r="O100" s="133"/>
    </row>
    <row r="101" spans="2:15" s="142" customFormat="1" x14ac:dyDescent="0.25">
      <c r="B101" s="130">
        <f t="shared" si="17"/>
        <v>50</v>
      </c>
      <c r="C101" s="121"/>
      <c r="D101" s="134" t="str">
        <f t="shared" si="18"/>
        <v>Nov 2016</v>
      </c>
      <c r="E101" s="208">
        <f>'6-PlantInService'!D178</f>
        <v>0</v>
      </c>
      <c r="F101" s="208">
        <f>'6-PlantInService'!E178</f>
        <v>5.4883313853274131E-3</v>
      </c>
      <c r="G101" s="208">
        <f>'6-PlantInService'!F178</f>
        <v>4.8434767742663115E-2</v>
      </c>
      <c r="H101" s="208">
        <f>'6-PlantInService'!G178</f>
        <v>7.129002204621647E-2</v>
      </c>
      <c r="I101" s="208">
        <f>'6-PlantInService'!H178</f>
        <v>-0.69802563214856006</v>
      </c>
      <c r="J101" s="208">
        <f>'6-PlantInService'!I178</f>
        <v>7.1493232929446343E-2</v>
      </c>
      <c r="K101" s="208">
        <f>'6-PlantInService'!J178</f>
        <v>-0.10156052310782547</v>
      </c>
      <c r="L101" s="208">
        <f>'6-PlantInService'!K178</f>
        <v>0.71343336536314805</v>
      </c>
      <c r="M101" s="208">
        <f>'6-PlantInService'!L178</f>
        <v>-0.16277895012346585</v>
      </c>
      <c r="N101" s="208">
        <f>'6-PlantInService'!M178</f>
        <v>-6.3064294214967734E-4</v>
      </c>
      <c r="O101" s="133"/>
    </row>
    <row r="102" spans="2:15" s="142" customFormat="1" x14ac:dyDescent="0.25">
      <c r="B102" s="130">
        <f t="shared" si="17"/>
        <v>51</v>
      </c>
      <c r="C102" s="121"/>
      <c r="D102" s="134" t="str">
        <f t="shared" si="18"/>
        <v>Dec 2016</v>
      </c>
      <c r="E102" s="208">
        <f>'6-PlantInService'!D179</f>
        <v>4.5907320520839851E-15</v>
      </c>
      <c r="F102" s="208">
        <f>'6-PlantInService'!E179</f>
        <v>1.06687175469223E-3</v>
      </c>
      <c r="G102" s="208">
        <f>'6-PlantInService'!F179</f>
        <v>3.4565047888537086E-2</v>
      </c>
      <c r="H102" s="208">
        <f>'6-PlantInService'!G179</f>
        <v>0.11476072548942369</v>
      </c>
      <c r="I102" s="208">
        <f>'6-PlantInService'!H179</f>
        <v>-2.0429214834957007E-2</v>
      </c>
      <c r="J102" s="208">
        <f>'6-PlantInService'!I179</f>
        <v>9.1204235004052406E-2</v>
      </c>
      <c r="K102" s="208">
        <f>'6-PlantInService'!J179</f>
        <v>8.2695199288254168E-2</v>
      </c>
      <c r="L102" s="208">
        <f>'6-PlantInService'!K179</f>
        <v>-0.10845677882511688</v>
      </c>
      <c r="M102" s="208">
        <f>'6-PlantInService'!L179</f>
        <v>-1.6186488966864122E-2</v>
      </c>
      <c r="N102" s="208">
        <f>'6-PlantInService'!M179</f>
        <v>0.15498441475769423</v>
      </c>
      <c r="O102" s="146"/>
    </row>
    <row r="104" spans="2:15" s="142" customFormat="1" x14ac:dyDescent="0.25">
      <c r="B104" s="121"/>
      <c r="C104" s="121"/>
      <c r="D104" s="140" t="s">
        <v>115</v>
      </c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</row>
    <row r="106" spans="2:15" s="142" customFormat="1" x14ac:dyDescent="0.25">
      <c r="B106" s="121"/>
      <c r="C106" s="121"/>
      <c r="D106" s="155" t="s">
        <v>114</v>
      </c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</row>
    <row r="107" spans="2:15" s="142" customFormat="1" x14ac:dyDescent="0.25">
      <c r="B107" s="121"/>
      <c r="C107" s="121"/>
      <c r="D107" s="155"/>
      <c r="E107" s="215">
        <v>350.1</v>
      </c>
      <c r="F107" s="215">
        <v>350.2</v>
      </c>
      <c r="G107" s="215">
        <v>352</v>
      </c>
      <c r="H107" s="215">
        <v>353</v>
      </c>
      <c r="I107" s="215">
        <v>354</v>
      </c>
      <c r="J107" s="215">
        <v>355</v>
      </c>
      <c r="K107" s="215">
        <v>356</v>
      </c>
      <c r="L107" s="215">
        <v>357</v>
      </c>
      <c r="M107" s="215">
        <v>358</v>
      </c>
      <c r="N107" s="215">
        <v>359</v>
      </c>
      <c r="O107" s="216" t="s">
        <v>20</v>
      </c>
    </row>
    <row r="108" spans="2:15" s="142" customFormat="1" x14ac:dyDescent="0.25">
      <c r="B108" s="130">
        <f>B102+1</f>
        <v>52</v>
      </c>
      <c r="C108" s="121"/>
      <c r="D108" s="155"/>
      <c r="E108" s="176">
        <f t="shared" ref="E108:N108" si="19">E26-E14</f>
        <v>0</v>
      </c>
      <c r="F108" s="176">
        <f t="shared" si="19"/>
        <v>2630976.4683660679</v>
      </c>
      <c r="G108" s="176">
        <f t="shared" si="19"/>
        <v>9410662.2047666609</v>
      </c>
      <c r="H108" s="176">
        <f t="shared" si="19"/>
        <v>67140920.680017054</v>
      </c>
      <c r="I108" s="176">
        <f t="shared" si="19"/>
        <v>58489637.725107968</v>
      </c>
      <c r="J108" s="176">
        <f t="shared" si="19"/>
        <v>-275249.04471515119</v>
      </c>
      <c r="K108" s="176">
        <f t="shared" si="19"/>
        <v>21738186.223919511</v>
      </c>
      <c r="L108" s="176">
        <f t="shared" si="19"/>
        <v>707584.43073596619</v>
      </c>
      <c r="M108" s="176">
        <f t="shared" si="19"/>
        <v>1268762.8601035553</v>
      </c>
      <c r="N108" s="176">
        <f t="shared" si="19"/>
        <v>1058206.0478258226</v>
      </c>
      <c r="O108" s="176">
        <f>SUM(E108:N108)</f>
        <v>162169687.59612742</v>
      </c>
    </row>
    <row r="109" spans="2:15" s="142" customFormat="1" x14ac:dyDescent="0.25">
      <c r="B109" s="121"/>
      <c r="C109" s="121"/>
      <c r="D109" s="155" t="s">
        <v>113</v>
      </c>
      <c r="E109" s="121"/>
      <c r="F109" s="121"/>
      <c r="G109" s="121"/>
      <c r="H109" s="121"/>
      <c r="I109" s="121"/>
      <c r="J109" s="121"/>
      <c r="K109" s="121"/>
      <c r="L109" s="121"/>
      <c r="M109" s="121"/>
      <c r="N109" s="121"/>
      <c r="O109" s="121"/>
    </row>
    <row r="110" spans="2:15" s="142" customFormat="1" x14ac:dyDescent="0.25">
      <c r="B110" s="121"/>
      <c r="C110" s="121"/>
      <c r="D110" s="155"/>
      <c r="E110" s="215">
        <v>350.1</v>
      </c>
      <c r="F110" s="215">
        <v>350.2</v>
      </c>
      <c r="G110" s="215">
        <v>352</v>
      </c>
      <c r="H110" s="215">
        <v>353</v>
      </c>
      <c r="I110" s="215">
        <v>354</v>
      </c>
      <c r="J110" s="215">
        <v>355</v>
      </c>
      <c r="K110" s="215">
        <v>356</v>
      </c>
      <c r="L110" s="215">
        <v>357</v>
      </c>
      <c r="M110" s="215">
        <v>358</v>
      </c>
      <c r="N110" s="215">
        <v>359</v>
      </c>
      <c r="O110" s="216" t="s">
        <v>20</v>
      </c>
    </row>
    <row r="111" spans="2:15" s="142" customFormat="1" x14ac:dyDescent="0.25">
      <c r="B111" s="130">
        <f>B108+1</f>
        <v>53</v>
      </c>
      <c r="C111" s="121"/>
      <c r="D111" s="155"/>
      <c r="E111" s="176">
        <f t="shared" ref="E111:N111" si="20">E84</f>
        <v>0</v>
      </c>
      <c r="F111" s="176">
        <f t="shared" si="20"/>
        <v>2716320.0201970846</v>
      </c>
      <c r="G111" s="176">
        <f t="shared" si="20"/>
        <v>12673639.860952852</v>
      </c>
      <c r="H111" s="176">
        <f t="shared" si="20"/>
        <v>77004328.040414661</v>
      </c>
      <c r="I111" s="176">
        <f t="shared" si="20"/>
        <v>53381362.598159023</v>
      </c>
      <c r="J111" s="176">
        <f t="shared" si="20"/>
        <v>11645538.874716848</v>
      </c>
      <c r="K111" s="176">
        <f t="shared" si="20"/>
        <v>37986122.319140188</v>
      </c>
      <c r="L111" s="176">
        <f t="shared" si="20"/>
        <v>750421.84849644429</v>
      </c>
      <c r="M111" s="176">
        <f t="shared" si="20"/>
        <v>1182645.3452835996</v>
      </c>
      <c r="N111" s="176">
        <f t="shared" si="20"/>
        <v>2903907.287249567</v>
      </c>
      <c r="O111" s="176">
        <f>SUM(E111:N111)</f>
        <v>200244286.19461027</v>
      </c>
    </row>
    <row r="112" spans="2:15" s="142" customFormat="1" x14ac:dyDescent="0.25">
      <c r="B112" s="121"/>
      <c r="C112" s="121"/>
      <c r="D112" s="155" t="s">
        <v>112</v>
      </c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</row>
    <row r="113" spans="2:15" s="142" customFormat="1" x14ac:dyDescent="0.25">
      <c r="B113" s="121"/>
      <c r="C113" s="121"/>
      <c r="D113" s="121"/>
      <c r="E113" s="215">
        <v>350.1</v>
      </c>
      <c r="F113" s="215">
        <v>350.2</v>
      </c>
      <c r="G113" s="215">
        <v>352</v>
      </c>
      <c r="H113" s="215">
        <v>353</v>
      </c>
      <c r="I113" s="215">
        <v>354</v>
      </c>
      <c r="J113" s="215">
        <v>355</v>
      </c>
      <c r="K113" s="215">
        <v>356</v>
      </c>
      <c r="L113" s="215">
        <v>357</v>
      </c>
      <c r="M113" s="215">
        <v>358</v>
      </c>
      <c r="N113" s="215">
        <v>359</v>
      </c>
      <c r="O113" s="216" t="s">
        <v>20</v>
      </c>
    </row>
    <row r="114" spans="2:15" s="142" customFormat="1" x14ac:dyDescent="0.25">
      <c r="B114" s="130">
        <f>B111+1</f>
        <v>54</v>
      </c>
      <c r="C114" s="121"/>
      <c r="D114" s="121"/>
      <c r="E114" s="176">
        <f t="shared" ref="E114:N114" si="21">E108-E111</f>
        <v>0</v>
      </c>
      <c r="F114" s="176">
        <f t="shared" si="21"/>
        <v>-85343.551831016783</v>
      </c>
      <c r="G114" s="176">
        <f t="shared" si="21"/>
        <v>-3262977.6561861914</v>
      </c>
      <c r="H114" s="176">
        <f t="shared" si="21"/>
        <v>-9863407.3603976071</v>
      </c>
      <c r="I114" s="176">
        <f t="shared" si="21"/>
        <v>5108275.1269489452</v>
      </c>
      <c r="J114" s="176">
        <f t="shared" si="21"/>
        <v>-11920787.919431999</v>
      </c>
      <c r="K114" s="176">
        <f t="shared" si="21"/>
        <v>-16247936.095220678</v>
      </c>
      <c r="L114" s="176">
        <f t="shared" si="21"/>
        <v>-42837.4177604781</v>
      </c>
      <c r="M114" s="176">
        <f t="shared" si="21"/>
        <v>86117.514819955686</v>
      </c>
      <c r="N114" s="176">
        <f t="shared" si="21"/>
        <v>-1845701.2394237444</v>
      </c>
      <c r="O114" s="176">
        <f>SUM(E114:N114)</f>
        <v>-38074598.59848281</v>
      </c>
    </row>
    <row r="116" spans="2:15" s="142" customFormat="1" x14ac:dyDescent="0.25">
      <c r="B116" s="121"/>
      <c r="C116" s="121"/>
      <c r="D116" s="140" t="s">
        <v>111</v>
      </c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</row>
    <row r="117" spans="2:15" s="142" customFormat="1" x14ac:dyDescent="0.25">
      <c r="B117" s="121"/>
      <c r="C117" s="121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1"/>
      <c r="O117" s="121"/>
    </row>
    <row r="118" spans="2:15" s="142" customFormat="1" x14ac:dyDescent="0.25">
      <c r="B118" s="121"/>
      <c r="C118" s="121"/>
      <c r="D118" s="129" t="s">
        <v>5</v>
      </c>
      <c r="E118" s="129" t="s">
        <v>6</v>
      </c>
      <c r="F118" s="129" t="s">
        <v>7</v>
      </c>
      <c r="G118" s="129" t="s">
        <v>8</v>
      </c>
      <c r="H118" s="129" t="s">
        <v>9</v>
      </c>
      <c r="I118" s="129" t="s">
        <v>10</v>
      </c>
      <c r="J118" s="129" t="s">
        <v>11</v>
      </c>
      <c r="K118" s="129" t="s">
        <v>12</v>
      </c>
      <c r="L118" s="129" t="s">
        <v>13</v>
      </c>
      <c r="M118" s="129" t="s">
        <v>14</v>
      </c>
      <c r="N118" s="129" t="s">
        <v>15</v>
      </c>
      <c r="O118" s="129" t="s">
        <v>16</v>
      </c>
    </row>
    <row r="119" spans="2:15" s="142" customFormat="1" x14ac:dyDescent="0.25">
      <c r="B119" s="121"/>
      <c r="C119" s="121"/>
      <c r="D119" s="126"/>
      <c r="E119" s="118"/>
      <c r="F119" s="118"/>
      <c r="G119" s="118"/>
      <c r="H119" s="118"/>
      <c r="I119" s="118"/>
      <c r="J119" s="118"/>
      <c r="K119" s="118"/>
      <c r="L119" s="118"/>
      <c r="M119" s="118"/>
      <c r="N119" s="121"/>
      <c r="O119" s="126" t="s">
        <v>17</v>
      </c>
    </row>
    <row r="120" spans="2:15" s="142" customFormat="1" x14ac:dyDescent="0.25">
      <c r="B120" s="121"/>
      <c r="C120" s="121"/>
      <c r="D120" s="214" t="s">
        <v>19</v>
      </c>
      <c r="E120" s="215">
        <v>350.1</v>
      </c>
      <c r="F120" s="215">
        <v>350.2</v>
      </c>
      <c r="G120" s="215">
        <v>352</v>
      </c>
      <c r="H120" s="215">
        <v>353</v>
      </c>
      <c r="I120" s="215">
        <v>354</v>
      </c>
      <c r="J120" s="215">
        <v>355</v>
      </c>
      <c r="K120" s="215">
        <v>356</v>
      </c>
      <c r="L120" s="215">
        <v>357</v>
      </c>
      <c r="M120" s="215">
        <v>358</v>
      </c>
      <c r="N120" s="215">
        <v>359</v>
      </c>
      <c r="O120" s="216" t="s">
        <v>20</v>
      </c>
    </row>
    <row r="121" spans="2:15" s="142" customFormat="1" x14ac:dyDescent="0.25">
      <c r="B121" s="130">
        <f>B114+1</f>
        <v>55</v>
      </c>
      <c r="C121" s="121"/>
      <c r="D121" s="134" t="str">
        <f>D91</f>
        <v>Jan 2016</v>
      </c>
      <c r="E121" s="135">
        <f t="shared" ref="E121:N121" si="22">E$114*E91</f>
        <v>0</v>
      </c>
      <c r="F121" s="135">
        <f t="shared" si="22"/>
        <v>-880.69754380965287</v>
      </c>
      <c r="G121" s="135">
        <f t="shared" si="22"/>
        <v>-384875.26836233091</v>
      </c>
      <c r="H121" s="135">
        <f t="shared" si="22"/>
        <v>-458898.24022102845</v>
      </c>
      <c r="I121" s="135">
        <f t="shared" si="22"/>
        <v>-4686411.3775994657</v>
      </c>
      <c r="J121" s="135">
        <f t="shared" si="22"/>
        <v>-781560.7429516433</v>
      </c>
      <c r="K121" s="135">
        <f t="shared" si="22"/>
        <v>-5207063.9384135082</v>
      </c>
      <c r="L121" s="135">
        <f t="shared" si="22"/>
        <v>-5871.7123394072833</v>
      </c>
      <c r="M121" s="135">
        <f t="shared" si="22"/>
        <v>4688.2538341796462</v>
      </c>
      <c r="N121" s="135">
        <f t="shared" si="22"/>
        <v>5118.8665967581428</v>
      </c>
      <c r="O121" s="133">
        <f t="shared" ref="O121:O132" si="23">SUM(E121:N121)</f>
        <v>-11515754.857000256</v>
      </c>
    </row>
    <row r="122" spans="2:15" s="142" customFormat="1" x14ac:dyDescent="0.25">
      <c r="B122" s="130">
        <f t="shared" ref="B122:B133" si="24">B121+1</f>
        <v>56</v>
      </c>
      <c r="C122" s="121"/>
      <c r="D122" s="134" t="str">
        <f t="shared" ref="D122:D132" si="25">D92</f>
        <v>Feb 2016</v>
      </c>
      <c r="E122" s="135">
        <f t="shared" ref="E122:N122" si="26">E$114*E92</f>
        <v>0</v>
      </c>
      <c r="F122" s="135">
        <f t="shared" si="26"/>
        <v>172.71584456944805</v>
      </c>
      <c r="G122" s="135">
        <f t="shared" si="26"/>
        <v>-58636.010873721832</v>
      </c>
      <c r="H122" s="135">
        <f t="shared" si="26"/>
        <v>-226483.25836267087</v>
      </c>
      <c r="I122" s="135">
        <f t="shared" si="26"/>
        <v>-8846.9316797043721</v>
      </c>
      <c r="J122" s="135">
        <f t="shared" si="26"/>
        <v>-855215.52810669376</v>
      </c>
      <c r="K122" s="135">
        <f t="shared" si="26"/>
        <v>-129356.43505812094</v>
      </c>
      <c r="L122" s="135">
        <f t="shared" si="26"/>
        <v>156.23564474818301</v>
      </c>
      <c r="M122" s="135">
        <f t="shared" si="26"/>
        <v>284.56775209305124</v>
      </c>
      <c r="N122" s="135">
        <f t="shared" si="26"/>
        <v>-641.27794975718791</v>
      </c>
      <c r="O122" s="133">
        <f t="shared" si="23"/>
        <v>-1278565.9227892582</v>
      </c>
    </row>
    <row r="123" spans="2:15" s="142" customFormat="1" x14ac:dyDescent="0.25">
      <c r="B123" s="130">
        <f t="shared" si="24"/>
        <v>57</v>
      </c>
      <c r="C123" s="121"/>
      <c r="D123" s="134" t="str">
        <f t="shared" si="25"/>
        <v>Mar 2016</v>
      </c>
      <c r="E123" s="135">
        <f t="shared" ref="E123:N123" si="27">E$114*E93</f>
        <v>0</v>
      </c>
      <c r="F123" s="135">
        <f t="shared" si="27"/>
        <v>-3457.7195914657527</v>
      </c>
      <c r="G123" s="135">
        <f t="shared" si="27"/>
        <v>-329113.5380094829</v>
      </c>
      <c r="H123" s="135">
        <f t="shared" si="27"/>
        <v>-1014408.1364517697</v>
      </c>
      <c r="I123" s="135">
        <f t="shared" si="27"/>
        <v>-557848.43753037916</v>
      </c>
      <c r="J123" s="135">
        <f t="shared" si="27"/>
        <v>-2027817.1212845596</v>
      </c>
      <c r="K123" s="135">
        <f t="shared" si="27"/>
        <v>-5313036.9453205345</v>
      </c>
      <c r="L123" s="135">
        <f t="shared" si="27"/>
        <v>-170.24977423522776</v>
      </c>
      <c r="M123" s="135">
        <f t="shared" si="27"/>
        <v>3916.7918772337807</v>
      </c>
      <c r="N123" s="135">
        <f t="shared" si="27"/>
        <v>-1027496.124114344</v>
      </c>
      <c r="O123" s="133">
        <f t="shared" si="23"/>
        <v>-10269431.480199536</v>
      </c>
    </row>
    <row r="124" spans="2:15" s="142" customFormat="1" x14ac:dyDescent="0.25">
      <c r="B124" s="130">
        <f t="shared" si="24"/>
        <v>58</v>
      </c>
      <c r="C124" s="121"/>
      <c r="D124" s="134" t="str">
        <f t="shared" si="25"/>
        <v>Apr 2016</v>
      </c>
      <c r="E124" s="135">
        <f t="shared" ref="E124:N124" si="28">E$114*E94</f>
        <v>0</v>
      </c>
      <c r="F124" s="135">
        <f t="shared" si="28"/>
        <v>-208.89897460743609</v>
      </c>
      <c r="G124" s="135">
        <f t="shared" si="28"/>
        <v>-905283.6277128876</v>
      </c>
      <c r="H124" s="135">
        <f t="shared" si="28"/>
        <v>-588256.09974256705</v>
      </c>
      <c r="I124" s="135">
        <f t="shared" si="28"/>
        <v>1004544.6787950662</v>
      </c>
      <c r="J124" s="135">
        <f t="shared" si="28"/>
        <v>-1054300.9000447441</v>
      </c>
      <c r="K124" s="135">
        <f t="shared" si="28"/>
        <v>130132.13339740555</v>
      </c>
      <c r="L124" s="135">
        <f t="shared" si="28"/>
        <v>-14560.058166552511</v>
      </c>
      <c r="M124" s="135">
        <f t="shared" si="28"/>
        <v>22780.146244740412</v>
      </c>
      <c r="N124" s="135">
        <f t="shared" si="28"/>
        <v>-48914.238877687785</v>
      </c>
      <c r="O124" s="133">
        <f t="shared" si="23"/>
        <v>-1454066.8650818346</v>
      </c>
    </row>
    <row r="125" spans="2:15" s="142" customFormat="1" x14ac:dyDescent="0.25">
      <c r="B125" s="130">
        <f t="shared" si="24"/>
        <v>59</v>
      </c>
      <c r="C125" s="121"/>
      <c r="D125" s="134" t="str">
        <f t="shared" si="25"/>
        <v>May 2016</v>
      </c>
      <c r="E125" s="135">
        <f t="shared" ref="E125:N125" si="29">E$114*E95</f>
        <v>0</v>
      </c>
      <c r="F125" s="135">
        <f t="shared" si="29"/>
        <v>-355.00334917274614</v>
      </c>
      <c r="G125" s="135">
        <f t="shared" si="29"/>
        <v>-27480.303623840122</v>
      </c>
      <c r="H125" s="135">
        <f t="shared" si="29"/>
        <v>-81366.812743063696</v>
      </c>
      <c r="I125" s="135">
        <f t="shared" si="29"/>
        <v>-2196350.7282521795</v>
      </c>
      <c r="J125" s="135">
        <f t="shared" si="29"/>
        <v>-693589.02143037179</v>
      </c>
      <c r="K125" s="135">
        <f t="shared" si="29"/>
        <v>-263477.16661785095</v>
      </c>
      <c r="L125" s="135">
        <f t="shared" si="29"/>
        <v>-1501.7967376080155</v>
      </c>
      <c r="M125" s="135">
        <f t="shared" si="29"/>
        <v>4393.8358620461522</v>
      </c>
      <c r="N125" s="135">
        <f t="shared" si="29"/>
        <v>-117722.63064702692</v>
      </c>
      <c r="O125" s="133">
        <f t="shared" si="23"/>
        <v>-3377449.6275390675</v>
      </c>
    </row>
    <row r="126" spans="2:15" s="142" customFormat="1" x14ac:dyDescent="0.25">
      <c r="B126" s="130">
        <f t="shared" si="24"/>
        <v>60</v>
      </c>
      <c r="C126" s="121"/>
      <c r="D126" s="134" t="str">
        <f t="shared" si="25"/>
        <v>Jun 2016</v>
      </c>
      <c r="E126" s="135">
        <f t="shared" ref="E126:N126" si="30">E$114*E96</f>
        <v>0</v>
      </c>
      <c r="F126" s="135">
        <f t="shared" si="30"/>
        <v>39106.253623641795</v>
      </c>
      <c r="G126" s="135">
        <f t="shared" si="30"/>
        <v>-219572.08949533157</v>
      </c>
      <c r="H126" s="135">
        <f t="shared" si="30"/>
        <v>-1684900.6807702219</v>
      </c>
      <c r="I126" s="135">
        <f t="shared" si="30"/>
        <v>17235010.660261154</v>
      </c>
      <c r="J126" s="135">
        <f t="shared" si="30"/>
        <v>-1489018.7785926824</v>
      </c>
      <c r="K126" s="135">
        <f t="shared" si="30"/>
        <v>-911275.15393744898</v>
      </c>
      <c r="L126" s="135">
        <f t="shared" si="30"/>
        <v>-20340.625793772342</v>
      </c>
      <c r="M126" s="135">
        <f t="shared" si="30"/>
        <v>66807.797131356143</v>
      </c>
      <c r="N126" s="135">
        <f t="shared" si="30"/>
        <v>-342653.77281533222</v>
      </c>
      <c r="O126" s="133">
        <f t="shared" si="23"/>
        <v>12673163.609611362</v>
      </c>
    </row>
    <row r="127" spans="2:15" s="142" customFormat="1" x14ac:dyDescent="0.25">
      <c r="B127" s="130">
        <f t="shared" si="24"/>
        <v>61</v>
      </c>
      <c r="C127" s="121"/>
      <c r="D127" s="134" t="str">
        <f t="shared" si="25"/>
        <v>Jul 2016</v>
      </c>
      <c r="E127" s="135">
        <f t="shared" ref="E127:N127" si="31">E$114*E97</f>
        <v>0</v>
      </c>
      <c r="F127" s="135">
        <f t="shared" si="31"/>
        <v>-171.83844240053929</v>
      </c>
      <c r="G127" s="135">
        <f t="shared" si="31"/>
        <v>-276850.59899654414</v>
      </c>
      <c r="H127" s="135">
        <f t="shared" si="31"/>
        <v>-2875844.1974467207</v>
      </c>
      <c r="I127" s="135">
        <f t="shared" si="31"/>
        <v>492220.45093314716</v>
      </c>
      <c r="J127" s="135">
        <f t="shared" si="31"/>
        <v>-635173.95921184146</v>
      </c>
      <c r="K127" s="135">
        <f t="shared" si="31"/>
        <v>441410.84642489359</v>
      </c>
      <c r="L127" s="135">
        <f t="shared" si="31"/>
        <v>-3804.2172265079389</v>
      </c>
      <c r="M127" s="135">
        <f t="shared" si="31"/>
        <v>2740.1958913992835</v>
      </c>
      <c r="N127" s="135">
        <f t="shared" si="31"/>
        <v>-41151.546722806226</v>
      </c>
      <c r="O127" s="133">
        <f t="shared" si="23"/>
        <v>-2896624.8647973812</v>
      </c>
    </row>
    <row r="128" spans="2:15" s="142" customFormat="1" x14ac:dyDescent="0.25">
      <c r="B128" s="130">
        <f t="shared" si="24"/>
        <v>62</v>
      </c>
      <c r="C128" s="121"/>
      <c r="D128" s="134" t="str">
        <f t="shared" si="25"/>
        <v>Aug 2016</v>
      </c>
      <c r="E128" s="135">
        <f t="shared" ref="E128:N128" si="32">E$114*E98</f>
        <v>0</v>
      </c>
      <c r="F128" s="135">
        <f t="shared" si="32"/>
        <v>-759.12576822998597</v>
      </c>
      <c r="G128" s="135">
        <f t="shared" si="32"/>
        <v>25321.57100635568</v>
      </c>
      <c r="H128" s="135">
        <f t="shared" si="32"/>
        <v>-21713.046927852116</v>
      </c>
      <c r="I128" s="135">
        <f t="shared" si="32"/>
        <v>-1054755.9778451668</v>
      </c>
      <c r="J128" s="135">
        <f t="shared" si="32"/>
        <v>-835428.12626266771</v>
      </c>
      <c r="K128" s="135">
        <f t="shared" si="32"/>
        <v>-232992.65638445443</v>
      </c>
      <c r="L128" s="135">
        <f t="shared" si="32"/>
        <v>-4142.1825563579096</v>
      </c>
      <c r="M128" s="135">
        <f t="shared" si="32"/>
        <v>-3108.465859913787</v>
      </c>
      <c r="N128" s="135">
        <f t="shared" si="32"/>
        <v>2419.4280820028434</v>
      </c>
      <c r="O128" s="133">
        <f t="shared" si="23"/>
        <v>-2125158.5825162842</v>
      </c>
    </row>
    <row r="129" spans="2:15" s="142" customFormat="1" x14ac:dyDescent="0.25">
      <c r="B129" s="130">
        <f t="shared" si="24"/>
        <v>63</v>
      </c>
      <c r="C129" s="121"/>
      <c r="D129" s="134" t="str">
        <f t="shared" si="25"/>
        <v>Sept 2016</v>
      </c>
      <c r="E129" s="135">
        <f t="shared" ref="E129:N129" si="33">E$114*E99</f>
        <v>0</v>
      </c>
      <c r="F129" s="135">
        <f t="shared" si="33"/>
        <v>-113972.69227162335</v>
      </c>
      <c r="G129" s="135">
        <f t="shared" si="33"/>
        <v>-21140.262265735892</v>
      </c>
      <c r="H129" s="135">
        <f t="shared" si="33"/>
        <v>-199506.3374611531</v>
      </c>
      <c r="I129" s="135">
        <f t="shared" si="33"/>
        <v>-415301.74314182496</v>
      </c>
      <c r="J129" s="135">
        <f t="shared" si="33"/>
        <v>-857183.43094788759</v>
      </c>
      <c r="K129" s="135">
        <f t="shared" si="33"/>
        <v>-4209267.075955661</v>
      </c>
      <c r="L129" s="135">
        <f t="shared" si="33"/>
        <v>-5275.7989928842662</v>
      </c>
      <c r="M129" s="135">
        <f t="shared" si="33"/>
        <v>1170.2990158569212</v>
      </c>
      <c r="N129" s="135">
        <f t="shared" si="33"/>
        <v>-1055.1048020956516</v>
      </c>
      <c r="O129" s="133">
        <f t="shared" si="23"/>
        <v>-5821532.1468230085</v>
      </c>
    </row>
    <row r="130" spans="2:15" s="142" customFormat="1" x14ac:dyDescent="0.25">
      <c r="B130" s="130">
        <f t="shared" si="24"/>
        <v>64</v>
      </c>
      <c r="C130" s="121"/>
      <c r="D130" s="134" t="str">
        <f t="shared" si="25"/>
        <v>Oct 2016</v>
      </c>
      <c r="E130" s="135">
        <f t="shared" ref="E130:N130" si="34">E$114*E100</f>
        <v>0</v>
      </c>
      <c r="F130" s="135">
        <f t="shared" si="34"/>
        <v>-4257.101038975451</v>
      </c>
      <c r="G130" s="135">
        <f t="shared" si="34"/>
        <v>-794520.98398049234</v>
      </c>
      <c r="H130" s="135">
        <f t="shared" si="34"/>
        <v>-876936.23762004927</v>
      </c>
      <c r="I130" s="135">
        <f t="shared" si="34"/>
        <v>-1033920.4423098902</v>
      </c>
      <c r="J130" s="135">
        <f t="shared" si="34"/>
        <v>-752018.3003350806</v>
      </c>
      <c r="K130" s="135">
        <f t="shared" si="34"/>
        <v>-859532.2791914366</v>
      </c>
      <c r="L130" s="135">
        <f t="shared" si="34"/>
        <v>38588.622954936887</v>
      </c>
      <c r="M130" s="135">
        <f t="shared" si="34"/>
        <v>-2143.8480759145405</v>
      </c>
      <c r="N130" s="135">
        <f t="shared" si="34"/>
        <v>11286.109776225016</v>
      </c>
      <c r="O130" s="133">
        <f t="shared" si="23"/>
        <v>-4273454.4598206766</v>
      </c>
    </row>
    <row r="131" spans="2:15" s="142" customFormat="1" x14ac:dyDescent="0.25">
      <c r="B131" s="130">
        <f t="shared" si="24"/>
        <v>65</v>
      </c>
      <c r="C131" s="121"/>
      <c r="D131" s="134" t="str">
        <f t="shared" si="25"/>
        <v>Nov 2016</v>
      </c>
      <c r="E131" s="135">
        <f t="shared" ref="E131:N131" si="35">E$114*E101</f>
        <v>0</v>
      </c>
      <c r="F131" s="135">
        <f t="shared" si="35"/>
        <v>-468.39369404948621</v>
      </c>
      <c r="G131" s="135">
        <f t="shared" si="35"/>
        <v>-158041.56492687744</v>
      </c>
      <c r="H131" s="135">
        <f t="shared" si="35"/>
        <v>-703162.52817355923</v>
      </c>
      <c r="I131" s="135">
        <f t="shared" si="35"/>
        <v>-3565706.9746773033</v>
      </c>
      <c r="J131" s="135">
        <f t="shared" si="35"/>
        <v>-852255.66742648196</v>
      </c>
      <c r="K131" s="135">
        <f t="shared" si="35"/>
        <v>1650148.8892531311</v>
      </c>
      <c r="L131" s="135">
        <f t="shared" si="35"/>
        <v>-30561.64311632498</v>
      </c>
      <c r="M131" s="135">
        <f t="shared" si="35"/>
        <v>-14018.118649634398</v>
      </c>
      <c r="N131" s="135">
        <f t="shared" si="35"/>
        <v>1163.9784599594961</v>
      </c>
      <c r="O131" s="133">
        <f t="shared" si="23"/>
        <v>-3672902.0229511405</v>
      </c>
    </row>
    <row r="132" spans="2:15" s="142" customFormat="1" x14ac:dyDescent="0.25">
      <c r="B132" s="130">
        <f t="shared" si="24"/>
        <v>66</v>
      </c>
      <c r="C132" s="121"/>
      <c r="D132" s="134" t="str">
        <f t="shared" si="25"/>
        <v>Dec 2016</v>
      </c>
      <c r="E132" s="135">
        <f t="shared" ref="E132:N132" si="36">E$114*E102</f>
        <v>0</v>
      </c>
      <c r="F132" s="135">
        <f t="shared" si="36"/>
        <v>-91.050624893624146</v>
      </c>
      <c r="G132" s="135">
        <f t="shared" si="36"/>
        <v>-112784.97894530221</v>
      </c>
      <c r="H132" s="135">
        <f t="shared" si="36"/>
        <v>-1131931.784476951</v>
      </c>
      <c r="I132" s="135">
        <f t="shared" si="36"/>
        <v>-104358.05000450728</v>
      </c>
      <c r="J132" s="135">
        <f t="shared" si="36"/>
        <v>-1087226.3428373451</v>
      </c>
      <c r="K132" s="135">
        <f t="shared" si="36"/>
        <v>-1343626.3134170922</v>
      </c>
      <c r="L132" s="135">
        <f t="shared" si="36"/>
        <v>4646.0083434873068</v>
      </c>
      <c r="M132" s="135">
        <f t="shared" si="36"/>
        <v>-1393.9402034869702</v>
      </c>
      <c r="N132" s="135">
        <f t="shared" si="36"/>
        <v>-286054.92640963988</v>
      </c>
      <c r="O132" s="133">
        <f t="shared" si="23"/>
        <v>-4062821.3785757301</v>
      </c>
    </row>
    <row r="133" spans="2:15" s="142" customFormat="1" x14ac:dyDescent="0.25">
      <c r="B133" s="130">
        <f t="shared" si="24"/>
        <v>67</v>
      </c>
      <c r="C133" s="121"/>
      <c r="D133" s="136" t="s">
        <v>71</v>
      </c>
      <c r="E133" s="184">
        <f t="shared" ref="E133:O133" si="37">SUM(E121:E132)</f>
        <v>0</v>
      </c>
      <c r="F133" s="184">
        <f t="shared" si="37"/>
        <v>-85343.551831016797</v>
      </c>
      <c r="G133" s="184">
        <f t="shared" si="37"/>
        <v>-3262977.6561861914</v>
      </c>
      <c r="H133" s="184">
        <f t="shared" si="37"/>
        <v>-9863407.3603976071</v>
      </c>
      <c r="I133" s="184">
        <f t="shared" si="37"/>
        <v>5108275.1269489462</v>
      </c>
      <c r="J133" s="184">
        <f t="shared" si="37"/>
        <v>-11920787.919431999</v>
      </c>
      <c r="K133" s="184">
        <f t="shared" si="37"/>
        <v>-16247936.095220678</v>
      </c>
      <c r="L133" s="184">
        <f t="shared" si="37"/>
        <v>-42837.4177604781</v>
      </c>
      <c r="M133" s="184">
        <f t="shared" si="37"/>
        <v>86117.514819955686</v>
      </c>
      <c r="N133" s="184">
        <f t="shared" si="37"/>
        <v>-1845701.2394237446</v>
      </c>
      <c r="O133" s="184">
        <f t="shared" si="37"/>
        <v>-38074598.59848281</v>
      </c>
    </row>
    <row r="135" spans="2:15" s="142" customFormat="1" x14ac:dyDescent="0.25">
      <c r="B135" s="121"/>
      <c r="C135" s="9" t="s">
        <v>81</v>
      </c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</row>
    <row r="136" spans="2:15" s="142" customFormat="1" x14ac:dyDescent="0.25">
      <c r="B136" s="121"/>
      <c r="C136" s="179" t="s">
        <v>110</v>
      </c>
      <c r="L136" s="121"/>
      <c r="M136" s="121"/>
      <c r="N136" s="121"/>
      <c r="O136" s="121"/>
    </row>
    <row r="137" spans="2:15" s="142" customFormat="1" x14ac:dyDescent="0.25">
      <c r="B137" s="121"/>
      <c r="C137" s="209" t="s">
        <v>109</v>
      </c>
      <c r="L137" s="121"/>
      <c r="M137" s="121"/>
      <c r="N137" s="121"/>
      <c r="O137" s="121"/>
    </row>
    <row r="138" spans="2:15" s="142" customFormat="1" x14ac:dyDescent="0.25">
      <c r="B138" s="121"/>
      <c r="C138" s="210" t="s">
        <v>108</v>
      </c>
      <c r="D138" s="210"/>
      <c r="E138" s="210"/>
      <c r="F138" s="210"/>
      <c r="G138" s="210"/>
      <c r="H138" s="210"/>
      <c r="I138" s="210"/>
      <c r="J138" s="210"/>
      <c r="M138" s="210"/>
      <c r="N138" s="210"/>
    </row>
    <row r="139" spans="2:15" s="142" customFormat="1" x14ac:dyDescent="0.25">
      <c r="B139" s="121"/>
      <c r="C139" s="211" t="s">
        <v>107</v>
      </c>
      <c r="D139" s="210"/>
      <c r="E139" s="210"/>
      <c r="F139" s="210"/>
      <c r="G139" s="210"/>
      <c r="H139" s="210"/>
      <c r="I139" s="210"/>
      <c r="J139" s="210"/>
      <c r="K139" s="210"/>
      <c r="L139" s="210"/>
      <c r="M139" s="210"/>
      <c r="N139" s="210"/>
    </row>
    <row r="140" spans="2:15" s="142" customFormat="1" x14ac:dyDescent="0.25">
      <c r="B140" s="121"/>
      <c r="C140" s="211" t="s">
        <v>106</v>
      </c>
      <c r="D140" s="210"/>
      <c r="E140" s="210"/>
      <c r="F140" s="210"/>
      <c r="G140" s="210"/>
      <c r="H140" s="210"/>
      <c r="I140" s="210"/>
      <c r="J140" s="210"/>
      <c r="K140" s="210"/>
      <c r="L140" s="210"/>
      <c r="M140" s="210"/>
      <c r="N140" s="210"/>
    </row>
    <row r="141" spans="2:15" s="142" customFormat="1" x14ac:dyDescent="0.25">
      <c r="B141" s="121"/>
      <c r="C141" s="211" t="s">
        <v>105</v>
      </c>
      <c r="D141" s="210"/>
      <c r="E141" s="210"/>
      <c r="F141" s="210"/>
      <c r="G141" s="210"/>
      <c r="H141" s="210"/>
      <c r="I141" s="210"/>
      <c r="J141" s="210"/>
      <c r="K141" s="210"/>
      <c r="L141" s="210"/>
      <c r="M141" s="210"/>
      <c r="N141" s="210"/>
    </row>
    <row r="142" spans="2:15" s="142" customFormat="1" x14ac:dyDescent="0.25">
      <c r="B142" s="121"/>
      <c r="C142" s="210" t="s">
        <v>104</v>
      </c>
      <c r="D142" s="210"/>
      <c r="E142" s="210"/>
      <c r="F142" s="210"/>
      <c r="G142" s="210"/>
      <c r="H142" s="210"/>
      <c r="I142" s="210"/>
      <c r="J142" s="210"/>
      <c r="K142" s="210"/>
      <c r="L142" s="210"/>
      <c r="M142" s="210"/>
      <c r="N142" s="210"/>
    </row>
    <row r="143" spans="2:15" s="142" customFormat="1" x14ac:dyDescent="0.25">
      <c r="B143" s="121"/>
      <c r="C143" s="211" t="s">
        <v>103</v>
      </c>
      <c r="D143" s="210"/>
      <c r="E143" s="210"/>
      <c r="F143" s="210"/>
      <c r="G143" s="210"/>
      <c r="H143" s="210"/>
      <c r="I143" s="210"/>
      <c r="J143" s="210"/>
      <c r="K143" s="210"/>
      <c r="L143" s="210"/>
      <c r="M143" s="210"/>
      <c r="N143" s="210"/>
    </row>
    <row r="144" spans="2:15" s="142" customFormat="1" x14ac:dyDescent="0.25">
      <c r="B144" s="121"/>
      <c r="C144" s="211" t="s">
        <v>102</v>
      </c>
      <c r="D144" s="210"/>
      <c r="E144" s="210"/>
      <c r="F144" s="210"/>
      <c r="G144" s="210"/>
      <c r="H144" s="210"/>
      <c r="I144" s="210"/>
      <c r="J144" s="210"/>
      <c r="K144" s="210"/>
      <c r="L144" s="210"/>
      <c r="M144" s="210"/>
      <c r="N144" s="210"/>
    </row>
    <row r="145" spans="2:15" s="142" customFormat="1" x14ac:dyDescent="0.25">
      <c r="B145" s="121"/>
      <c r="C145" s="211" t="s">
        <v>101</v>
      </c>
      <c r="D145" s="210"/>
      <c r="E145" s="210"/>
      <c r="F145" s="210"/>
      <c r="G145" s="210"/>
      <c r="H145" s="210"/>
      <c r="I145" s="210"/>
      <c r="J145" s="210"/>
      <c r="K145" s="210"/>
      <c r="L145" s="210"/>
      <c r="M145" s="210"/>
      <c r="N145" s="210"/>
    </row>
    <row r="146" spans="2:15" s="142" customFormat="1" x14ac:dyDescent="0.25">
      <c r="B146" s="121"/>
      <c r="C146" s="142" t="str">
        <f>"2) Amounts on Line "&amp;B35&amp;" derived from Plant Study for previous year Prior Year."</f>
        <v>2) Amounts on Line 15 derived from Plant Study for previous year Prior Year.</v>
      </c>
      <c r="L146" s="121"/>
      <c r="M146" s="121"/>
      <c r="N146" s="121"/>
      <c r="O146" s="121"/>
    </row>
    <row r="147" spans="2:15" x14ac:dyDescent="0.25">
      <c r="C147" s="161" t="str">
        <f>"Amounts on Line "&amp;B36&amp;" derived from Plant Study for Prior Year."</f>
        <v>Amounts on Line 16 derived from Plant Study for Prior Year.</v>
      </c>
      <c r="D147" s="142"/>
      <c r="E147" s="142"/>
      <c r="F147" s="142"/>
      <c r="G147" s="142"/>
      <c r="H147" s="142"/>
      <c r="I147" s="142"/>
      <c r="J147" s="142"/>
      <c r="K147" s="142"/>
    </row>
    <row r="148" spans="2:15" x14ac:dyDescent="0.25">
      <c r="C148" s="142" t="s">
        <v>232</v>
      </c>
      <c r="D148" s="142"/>
      <c r="E148" s="142"/>
      <c r="F148" s="142"/>
      <c r="G148" s="142"/>
      <c r="H148" s="142"/>
      <c r="I148" s="142"/>
      <c r="J148" s="142"/>
      <c r="K148" s="142"/>
    </row>
    <row r="149" spans="2:15" x14ac:dyDescent="0.25">
      <c r="C149" s="142" t="s">
        <v>100</v>
      </c>
      <c r="D149" s="142"/>
      <c r="E149" s="142"/>
      <c r="F149" s="142"/>
      <c r="G149" s="142"/>
      <c r="H149" s="142"/>
      <c r="I149" s="142"/>
      <c r="J149" s="142"/>
      <c r="K149" s="142"/>
    </row>
    <row r="150" spans="2:15" x14ac:dyDescent="0.25">
      <c r="C150" s="142" t="str">
        <f>"5) Line "&amp;B26&amp;" - Line "&amp;B14&amp;"."</f>
        <v>5) Line 13 - Line 1.</v>
      </c>
      <c r="D150" s="142"/>
      <c r="E150" s="142"/>
      <c r="F150" s="142"/>
      <c r="G150" s="142"/>
      <c r="H150" s="142"/>
      <c r="I150" s="142"/>
      <c r="J150" s="142"/>
      <c r="K150" s="142"/>
    </row>
    <row r="151" spans="2:15" x14ac:dyDescent="0.25">
      <c r="C151" s="142" t="str">
        <f>"6) Line "&amp;B84&amp;"."</f>
        <v>6) Line 39.</v>
      </c>
      <c r="D151" s="142"/>
      <c r="E151" s="142"/>
      <c r="F151" s="142"/>
      <c r="G151" s="142"/>
      <c r="H151" s="142"/>
      <c r="I151" s="142"/>
      <c r="J151" s="142"/>
      <c r="K151" s="142"/>
    </row>
    <row r="152" spans="2:15" x14ac:dyDescent="0.25">
      <c r="C152" s="142" t="str">
        <f>"7) Line "&amp;B108&amp;" - Line "&amp;B111&amp;"."</f>
        <v>7) Line 52 - Line 53.</v>
      </c>
      <c r="D152" s="142"/>
      <c r="E152" s="142"/>
      <c r="F152" s="142"/>
      <c r="G152" s="142"/>
      <c r="H152" s="142"/>
      <c r="I152" s="142"/>
      <c r="J152" s="142"/>
      <c r="K152" s="142"/>
    </row>
    <row r="153" spans="2:15" x14ac:dyDescent="0.25">
      <c r="C153" s="142" t="s">
        <v>99</v>
      </c>
      <c r="D153" s="142"/>
      <c r="E153" s="142"/>
      <c r="F153" s="142"/>
      <c r="G153" s="142"/>
      <c r="H153" s="142"/>
      <c r="I153" s="142"/>
      <c r="J153" s="142"/>
      <c r="K153" s="142"/>
    </row>
    <row r="154" spans="2:15" x14ac:dyDescent="0.25">
      <c r="C154" s="161" t="s">
        <v>98</v>
      </c>
      <c r="D154" s="142"/>
      <c r="E154" s="142"/>
      <c r="F154" s="142"/>
      <c r="G154" s="142"/>
      <c r="H154" s="142"/>
      <c r="I154" s="142"/>
      <c r="J154" s="142"/>
      <c r="K154" s="142"/>
    </row>
    <row r="155" spans="2:15" x14ac:dyDescent="0.25">
      <c r="C155" s="142"/>
      <c r="D155" s="142"/>
      <c r="E155" s="142"/>
      <c r="F155" s="142"/>
      <c r="G155" s="142"/>
      <c r="H155" s="142"/>
      <c r="I155" s="142"/>
      <c r="J155" s="142"/>
      <c r="K155" s="142"/>
    </row>
    <row r="156" spans="2:15" x14ac:dyDescent="0.25">
      <c r="C156" s="142"/>
      <c r="D156" s="142"/>
      <c r="E156" s="142"/>
      <c r="F156" s="142"/>
      <c r="G156" s="142"/>
      <c r="H156" s="142"/>
      <c r="I156" s="142"/>
      <c r="J156" s="142"/>
      <c r="K156" s="142"/>
    </row>
  </sheetData>
  <pageMargins left="0.75" right="0.75" top="1" bottom="1" header="0.5" footer="0.5"/>
  <pageSetup scale="65" orientation="landscape" cellComments="asDisplayed" r:id="rId1"/>
  <headerFooter alignWithMargins="0">
    <oddHeader>&amp;CSchedule 8
Accumulated Depreciation
&amp;RTO10 Annual Update
Attachment 1</oddHeader>
    <oddFooter>&amp;R&amp;A</oddFooter>
  </headerFooter>
  <rowBreaks count="3" manualBreakCount="3">
    <brk id="38" max="16383" man="1"/>
    <brk id="66" max="16383" man="1"/>
    <brk id="10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workbookViewId="0">
      <selection activeCell="D53" sqref="D53"/>
    </sheetView>
  </sheetViews>
  <sheetFormatPr defaultColWidth="8.85546875" defaultRowHeight="12.75" x14ac:dyDescent="0.2"/>
  <cols>
    <col min="1" max="1" width="4.7109375" style="15" customWidth="1"/>
    <col min="2" max="2" width="8.85546875" style="15"/>
    <col min="3" max="5" width="14.7109375" style="15" customWidth="1"/>
    <col min="6" max="6" width="15.5703125" style="15" customWidth="1"/>
    <col min="7" max="13" width="14.7109375" style="15" customWidth="1"/>
    <col min="14" max="16384" width="8.85546875" style="15"/>
  </cols>
  <sheetData>
    <row r="1" spans="1:13" x14ac:dyDescent="0.2">
      <c r="A1" s="13" t="s">
        <v>147</v>
      </c>
      <c r="B1" s="14"/>
      <c r="C1" s="14"/>
      <c r="D1" s="14"/>
      <c r="E1" s="14"/>
      <c r="F1" s="14"/>
      <c r="G1" s="14"/>
      <c r="H1" s="14"/>
      <c r="I1" s="12" t="s">
        <v>145</v>
      </c>
      <c r="J1" s="11"/>
      <c r="K1" s="14"/>
      <c r="L1" s="14"/>
      <c r="M1" s="14"/>
    </row>
    <row r="2" spans="1:13" x14ac:dyDescent="0.2">
      <c r="A2" s="14"/>
      <c r="B2" s="14"/>
      <c r="C2" s="14"/>
      <c r="D2" s="14"/>
      <c r="E2" s="14"/>
      <c r="F2" s="14"/>
      <c r="G2" s="14"/>
      <c r="H2" s="14"/>
      <c r="K2" s="14"/>
      <c r="L2" s="14"/>
      <c r="M2" s="14"/>
    </row>
    <row r="3" spans="1:13" x14ac:dyDescent="0.2">
      <c r="A3" s="14"/>
      <c r="B3" s="13" t="s">
        <v>148</v>
      </c>
      <c r="C3" s="14"/>
      <c r="D3" s="14"/>
      <c r="E3" s="14"/>
      <c r="F3" s="14"/>
      <c r="G3" s="14"/>
      <c r="H3" s="16"/>
      <c r="I3" s="17" t="s">
        <v>4</v>
      </c>
      <c r="J3" s="18">
        <v>2015</v>
      </c>
      <c r="K3" s="14"/>
      <c r="L3" s="14"/>
      <c r="M3" s="14"/>
    </row>
    <row r="4" spans="1:13" x14ac:dyDescent="0.2">
      <c r="A4" s="14"/>
      <c r="B4" s="14"/>
      <c r="C4" s="14"/>
      <c r="D4" s="14"/>
      <c r="E4" s="14"/>
      <c r="F4" s="14"/>
      <c r="G4" s="14"/>
      <c r="H4" s="16"/>
      <c r="I4" s="16"/>
      <c r="J4" s="14"/>
      <c r="K4" s="14"/>
      <c r="L4" s="14"/>
      <c r="M4" s="14"/>
    </row>
    <row r="5" spans="1:13" x14ac:dyDescent="0.2">
      <c r="A5" s="14"/>
      <c r="B5" s="10" t="s">
        <v>149</v>
      </c>
      <c r="C5" s="14"/>
      <c r="D5" s="14"/>
      <c r="E5" s="14"/>
      <c r="F5" s="14"/>
      <c r="G5" s="14"/>
      <c r="H5" s="6" t="s">
        <v>150</v>
      </c>
      <c r="I5" s="16"/>
      <c r="J5" s="14"/>
      <c r="K5" s="14"/>
      <c r="L5" s="14"/>
      <c r="M5" s="14"/>
    </row>
    <row r="6" spans="1:13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x14ac:dyDescent="0.2">
      <c r="A7" s="14"/>
      <c r="B7" s="19" t="s">
        <v>5</v>
      </c>
      <c r="C7" s="19" t="s">
        <v>6</v>
      </c>
      <c r="D7" s="19" t="s">
        <v>7</v>
      </c>
      <c r="E7" s="19" t="s">
        <v>8</v>
      </c>
      <c r="F7" s="19" t="s">
        <v>9</v>
      </c>
      <c r="G7" s="19" t="s">
        <v>10</v>
      </c>
      <c r="H7" s="19" t="s">
        <v>11</v>
      </c>
      <c r="I7" s="19" t="s">
        <v>12</v>
      </c>
      <c r="J7" s="19" t="s">
        <v>13</v>
      </c>
      <c r="K7" s="19" t="s">
        <v>14</v>
      </c>
      <c r="L7" s="19" t="s">
        <v>15</v>
      </c>
      <c r="M7" s="19" t="s">
        <v>16</v>
      </c>
    </row>
    <row r="8" spans="1:13" x14ac:dyDescent="0.2">
      <c r="A8" s="14"/>
      <c r="B8" s="20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3" x14ac:dyDescent="0.2">
      <c r="A9" s="14"/>
      <c r="B9" s="8"/>
      <c r="C9" s="21" t="s">
        <v>139</v>
      </c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2">
      <c r="A10" s="14"/>
      <c r="B10" s="8"/>
      <c r="C10" s="21" t="s">
        <v>137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 x14ac:dyDescent="0.2">
      <c r="A11" s="22" t="s">
        <v>18</v>
      </c>
      <c r="B11" s="7" t="s">
        <v>19</v>
      </c>
      <c r="C11" s="19">
        <v>350.1</v>
      </c>
      <c r="D11" s="19">
        <v>350.2</v>
      </c>
      <c r="E11" s="19">
        <v>352</v>
      </c>
      <c r="F11" s="19">
        <v>353</v>
      </c>
      <c r="G11" s="19">
        <v>354</v>
      </c>
      <c r="H11" s="19">
        <v>355</v>
      </c>
      <c r="I11" s="19">
        <v>356</v>
      </c>
      <c r="J11" s="19">
        <v>357</v>
      </c>
      <c r="K11" s="19">
        <v>358</v>
      </c>
      <c r="L11" s="19">
        <v>359</v>
      </c>
      <c r="M11" s="3" t="s">
        <v>20</v>
      </c>
    </row>
    <row r="12" spans="1:13" x14ac:dyDescent="0.2">
      <c r="A12" s="2">
        <v>1</v>
      </c>
      <c r="B12" s="1">
        <v>42339</v>
      </c>
      <c r="C12" s="23">
        <f>'6-PlantInService'!D13</f>
        <v>77976654.562520087</v>
      </c>
      <c r="D12" s="23">
        <f>'6-PlantInService'!E13</f>
        <v>163072480.04595727</v>
      </c>
      <c r="E12" s="23">
        <f>'6-PlantInService'!F13</f>
        <v>470458375.70606768</v>
      </c>
      <c r="F12" s="23">
        <f>'6-PlantInService'!G13</f>
        <v>3030177246.8036795</v>
      </c>
      <c r="G12" s="23">
        <f>'6-PlantInService'!H13</f>
        <v>2164622762.8245416</v>
      </c>
      <c r="H12" s="23">
        <f>'6-PlantInService'!I13</f>
        <v>310678566.28323245</v>
      </c>
      <c r="I12" s="23">
        <f>'6-PlantInService'!J13</f>
        <v>1239646180.7050807</v>
      </c>
      <c r="J12" s="23">
        <f>'6-PlantInService'!K13</f>
        <v>221416.38459709552</v>
      </c>
      <c r="K12" s="23">
        <f>'6-PlantInService'!L13</f>
        <v>13011928.174370928</v>
      </c>
      <c r="L12" s="23">
        <f>'6-PlantInService'!M13</f>
        <v>187087540.77399367</v>
      </c>
      <c r="M12" s="23">
        <f>SUM(C12:L12)</f>
        <v>7656953152.2640409</v>
      </c>
    </row>
    <row r="13" spans="1:13" x14ac:dyDescent="0.2">
      <c r="A13" s="2">
        <f t="shared" ref="A13:A26" si="0">A12+1</f>
        <v>2</v>
      </c>
      <c r="B13" s="1">
        <v>42370</v>
      </c>
      <c r="C13" s="23">
        <f>'6-PlantInService'!D14</f>
        <v>77366105.920756206</v>
      </c>
      <c r="D13" s="23">
        <f>'6-PlantInService'!E14</f>
        <v>163089424.98509225</v>
      </c>
      <c r="E13" s="23">
        <f>'6-PlantInService'!F14</f>
        <v>477787636.76367897</v>
      </c>
      <c r="F13" s="23">
        <f>'6-PlantInService'!G14</f>
        <v>3038238129.4965858</v>
      </c>
      <c r="G13" s="23">
        <f>'6-PlantInService'!H14</f>
        <v>2149854075.4226894</v>
      </c>
      <c r="H13" s="23">
        <f>'6-PlantInService'!I14</f>
        <v>312467578.99467111</v>
      </c>
      <c r="I13" s="23">
        <f>'6-PlantInService'!J14</f>
        <v>1241589579.006793</v>
      </c>
      <c r="J13" s="23">
        <f>'6-PlantInService'!K14</f>
        <v>221418.79555946231</v>
      </c>
      <c r="K13" s="23">
        <f>'6-PlantInService'!L14</f>
        <v>13016282.411001131</v>
      </c>
      <c r="L13" s="23">
        <f>'6-PlantInService'!M14</f>
        <v>187350498.21426925</v>
      </c>
      <c r="M13" s="23">
        <f t="shared" ref="M13:M24" si="1">SUM(C13:L13)</f>
        <v>7660980730.011097</v>
      </c>
    </row>
    <row r="14" spans="1:13" x14ac:dyDescent="0.2">
      <c r="A14" s="2">
        <f t="shared" si="0"/>
        <v>3</v>
      </c>
      <c r="B14" s="1">
        <v>42401</v>
      </c>
      <c r="C14" s="23">
        <f>'6-PlantInService'!D15</f>
        <v>77365695.692265838</v>
      </c>
      <c r="D14" s="23">
        <f>'6-PlantInService'!E15</f>
        <v>163086101.86980206</v>
      </c>
      <c r="E14" s="23">
        <f>'6-PlantInService'!F15</f>
        <v>470257228.66222346</v>
      </c>
      <c r="F14" s="23">
        <f>'6-PlantInService'!G15</f>
        <v>3058743183.1241899</v>
      </c>
      <c r="G14" s="23">
        <f>'6-PlantInService'!H15</f>
        <v>2152015903.4512615</v>
      </c>
      <c r="H14" s="23">
        <f>'6-PlantInService'!I15</f>
        <v>313580382.27082932</v>
      </c>
      <c r="I14" s="23">
        <f>'6-PlantInService'!J15</f>
        <v>1242505439.2727523</v>
      </c>
      <c r="J14" s="23">
        <f>'6-PlantInService'!K15</f>
        <v>221418.7314081146</v>
      </c>
      <c r="K14" s="23">
        <f>'6-PlantInService'!L15</f>
        <v>13016546.704568366</v>
      </c>
      <c r="L14" s="23">
        <f>'6-PlantInService'!M15</f>
        <v>187651223.48926169</v>
      </c>
      <c r="M14" s="23">
        <f t="shared" si="1"/>
        <v>7678443123.2685623</v>
      </c>
    </row>
    <row r="15" spans="1:13" x14ac:dyDescent="0.2">
      <c r="A15" s="2">
        <f t="shared" si="0"/>
        <v>4</v>
      </c>
      <c r="B15" s="1">
        <v>42430</v>
      </c>
      <c r="C15" s="23">
        <f>'6-PlantInService'!D16</f>
        <v>87298556.972211495</v>
      </c>
      <c r="D15" s="23">
        <f>'6-PlantInService'!E16</f>
        <v>163152629.64478576</v>
      </c>
      <c r="E15" s="23">
        <f>'6-PlantInService'!F16</f>
        <v>476439567.91679418</v>
      </c>
      <c r="F15" s="23">
        <f>'6-PlantInService'!G16</f>
        <v>3076643566.7201924</v>
      </c>
      <c r="G15" s="23">
        <f>'6-PlantInService'!H16</f>
        <v>2150669452.918088</v>
      </c>
      <c r="H15" s="23">
        <f>'6-PlantInService'!I16</f>
        <v>315593552.71820909</v>
      </c>
      <c r="I15" s="23">
        <f>'6-PlantInService'!J16</f>
        <v>1245422772.2587121</v>
      </c>
      <c r="J15" s="23">
        <f>'6-PlantInService'!K16</f>
        <v>221418.80131375283</v>
      </c>
      <c r="K15" s="23">
        <f>'6-PlantInService'!L16</f>
        <v>13020184.442469927</v>
      </c>
      <c r="L15" s="23">
        <f>'6-PlantInService'!M16</f>
        <v>190200198.58978724</v>
      </c>
      <c r="M15" s="23">
        <f t="shared" si="1"/>
        <v>7718661900.982563</v>
      </c>
    </row>
    <row r="16" spans="1:13" x14ac:dyDescent="0.2">
      <c r="A16" s="2">
        <f t="shared" si="0"/>
        <v>5</v>
      </c>
      <c r="B16" s="1">
        <v>42461</v>
      </c>
      <c r="C16" s="23">
        <f>'6-PlantInService'!D17</f>
        <v>87309334.695010051</v>
      </c>
      <c r="D16" s="23">
        <f>'6-PlantInService'!E17</f>
        <v>163197608.62657893</v>
      </c>
      <c r="E16" s="23">
        <f>'6-PlantInService'!F17</f>
        <v>491408710.10338807</v>
      </c>
      <c r="F16" s="23">
        <f>'6-PlantInService'!G17</f>
        <v>3089452188.1863966</v>
      </c>
      <c r="G16" s="23">
        <f>'6-PlantInService'!H17</f>
        <v>2155881434.0841064</v>
      </c>
      <c r="H16" s="23">
        <f>'6-PlantInService'!I17</f>
        <v>316787446.86551559</v>
      </c>
      <c r="I16" s="23">
        <f>'6-PlantInService'!J17</f>
        <v>1245937740.934953</v>
      </c>
      <c r="J16" s="23">
        <f>'6-PlantInService'!K17</f>
        <v>221424.77976607962</v>
      </c>
      <c r="K16" s="23">
        <f>'6-PlantInService'!L17</f>
        <v>14735209.524758596</v>
      </c>
      <c r="L16" s="23">
        <f>'6-PlantInService'!M17</f>
        <v>190592879.66058707</v>
      </c>
      <c r="M16" s="23">
        <f t="shared" si="1"/>
        <v>7755523977.4610605</v>
      </c>
    </row>
    <row r="17" spans="1:13" x14ac:dyDescent="0.2">
      <c r="A17" s="2">
        <f t="shared" si="0"/>
        <v>6</v>
      </c>
      <c r="B17" s="1">
        <v>42491</v>
      </c>
      <c r="C17" s="23">
        <f>'6-PlantInService'!D18</f>
        <v>87317064.559089109</v>
      </c>
      <c r="D17" s="23">
        <f>'6-PlantInService'!E18</f>
        <v>163204896.01935875</v>
      </c>
      <c r="E17" s="23">
        <f>'6-PlantInService'!F18</f>
        <v>491870167.20857477</v>
      </c>
      <c r="F17" s="23">
        <f>'6-PlantInService'!G18</f>
        <v>3090721159.1595273</v>
      </c>
      <c r="G17" s="23">
        <f>'6-PlantInService'!H18</f>
        <v>2149317763.7040763</v>
      </c>
      <c r="H17" s="23">
        <f>'6-PlantInService'!I18</f>
        <v>317533976.09647954</v>
      </c>
      <c r="I17" s="23">
        <f>'6-PlantInService'!J18</f>
        <v>1246282242.7515957</v>
      </c>
      <c r="J17" s="23">
        <f>'6-PlantInService'!K18</f>
        <v>221425.39641335516</v>
      </c>
      <c r="K17" s="23">
        <f>'6-PlantInService'!L18</f>
        <v>15083340.179385828</v>
      </c>
      <c r="L17" s="23">
        <f>'6-PlantInService'!M18</f>
        <v>191019612.6532428</v>
      </c>
      <c r="M17" s="23">
        <f t="shared" si="1"/>
        <v>7752571647.7277441</v>
      </c>
    </row>
    <row r="18" spans="1:13" x14ac:dyDescent="0.2">
      <c r="A18" s="2">
        <f t="shared" si="0"/>
        <v>7</v>
      </c>
      <c r="B18" s="1">
        <v>42522</v>
      </c>
      <c r="C18" s="23">
        <f>'6-PlantInService'!D19</f>
        <v>86794533.452252254</v>
      </c>
      <c r="D18" s="23">
        <f>'6-PlantInService'!E19</f>
        <v>162983298.15184397</v>
      </c>
      <c r="E18" s="23">
        <f>'6-PlantInService'!F19</f>
        <v>496064460.63903189</v>
      </c>
      <c r="F18" s="23">
        <f>'6-PlantInService'!G19</f>
        <v>3120246532.2894578</v>
      </c>
      <c r="G18" s="23">
        <f>'6-PlantInService'!H19</f>
        <v>2210512876.8160768</v>
      </c>
      <c r="H18" s="23">
        <f>'6-PlantInService'!I19</f>
        <v>318450055.48245621</v>
      </c>
      <c r="I18" s="23">
        <f>'6-PlantInService'!J19</f>
        <v>1247245617.2742162</v>
      </c>
      <c r="J18" s="23">
        <f>'6-PlantInService'!K19</f>
        <v>221433.7484034512</v>
      </c>
      <c r="K18" s="23">
        <f>'6-PlantInService'!L19</f>
        <v>15146686.808536716</v>
      </c>
      <c r="L18" s="23">
        <f>'6-PlantInService'!M19</f>
        <v>192180088.88538799</v>
      </c>
      <c r="M18" s="23">
        <f t="shared" si="1"/>
        <v>7849845583.5476637</v>
      </c>
    </row>
    <row r="19" spans="1:13" x14ac:dyDescent="0.2">
      <c r="A19" s="2">
        <f t="shared" si="0"/>
        <v>8</v>
      </c>
      <c r="B19" s="1">
        <v>42552</v>
      </c>
      <c r="C19" s="23">
        <f>'6-PlantInService'!D20</f>
        <v>86801874.153581992</v>
      </c>
      <c r="D19" s="23">
        <f>'6-PlantInService'!E20</f>
        <v>162990136.80559924</v>
      </c>
      <c r="E19" s="23">
        <f>'6-PlantInService'!F20</f>
        <v>501268131.69438076</v>
      </c>
      <c r="F19" s="23">
        <f>'6-PlantInService'!G20</f>
        <v>3170862943.2358661</v>
      </c>
      <c r="G19" s="23">
        <f>'6-PlantInService'!H20</f>
        <v>2212689387.4658561</v>
      </c>
      <c r="H19" s="23">
        <f>'6-PlantInService'!I20</f>
        <v>319127827.92367125</v>
      </c>
      <c r="I19" s="23">
        <f>'6-PlantInService'!J20</f>
        <v>1247320275.4718237</v>
      </c>
      <c r="J19" s="23">
        <f>'6-PlantInService'!K20</f>
        <v>221435.31043919784</v>
      </c>
      <c r="K19" s="23">
        <f>'6-PlantInService'!L20</f>
        <v>15149825.277675817</v>
      </c>
      <c r="L19" s="23">
        <f>'6-PlantInService'!M20</f>
        <v>192445154.97929978</v>
      </c>
      <c r="M19" s="23">
        <f t="shared" si="1"/>
        <v>7908876992.3181934</v>
      </c>
    </row>
    <row r="20" spans="1:13" x14ac:dyDescent="0.2">
      <c r="A20" s="2">
        <f t="shared" si="0"/>
        <v>9</v>
      </c>
      <c r="B20" s="1">
        <v>42583</v>
      </c>
      <c r="C20" s="23">
        <f>'6-PlantInService'!D21</f>
        <v>86799925.561732322</v>
      </c>
      <c r="D20" s="23">
        <f>'6-PlantInService'!E21</f>
        <v>163006399.12982112</v>
      </c>
      <c r="E20" s="23">
        <f>'6-PlantInService'!F21</f>
        <v>501046195.10621768</v>
      </c>
      <c r="F20" s="23">
        <f>'6-PlantInService'!G21</f>
        <v>3171072527.4458294</v>
      </c>
      <c r="G20" s="23">
        <f>'6-PlantInService'!H21</f>
        <v>2228283811.4142423</v>
      </c>
      <c r="H20" s="23">
        <f>'6-PlantInService'!I21</f>
        <v>319715188.55151832</v>
      </c>
      <c r="I20" s="23">
        <f>'6-PlantInService'!J21</f>
        <v>1241488154.0594299</v>
      </c>
      <c r="J20" s="23">
        <f>'6-PlantInService'!K21</f>
        <v>221437.01124565469</v>
      </c>
      <c r="K20" s="23">
        <f>'6-PlantInService'!L21</f>
        <v>15146092.306163164</v>
      </c>
      <c r="L20" s="23">
        <f>'6-PlantInService'!M21</f>
        <v>178450653.71980661</v>
      </c>
      <c r="M20" s="23">
        <f t="shared" si="1"/>
        <v>7905230384.3060064</v>
      </c>
    </row>
    <row r="21" spans="1:13" x14ac:dyDescent="0.2">
      <c r="A21" s="2">
        <f t="shared" si="0"/>
        <v>10</v>
      </c>
      <c r="B21" s="1">
        <v>42614</v>
      </c>
      <c r="C21" s="23">
        <f>'6-PlantInService'!D22</f>
        <v>86814703.794480577</v>
      </c>
      <c r="D21" s="23">
        <f>'6-PlantInService'!E22</f>
        <v>165199256.83283538</v>
      </c>
      <c r="E21" s="23">
        <f>'6-PlantInService'!F22</f>
        <v>502725446.31547678</v>
      </c>
      <c r="F21" s="23">
        <f>'6-PlantInService'!G22</f>
        <v>3174643081.8659549</v>
      </c>
      <c r="G21" s="23">
        <f>'6-PlantInService'!H22</f>
        <v>2227591399.5001597</v>
      </c>
      <c r="H21" s="23">
        <f>'6-PlantInService'!I22</f>
        <v>320439815.92619103</v>
      </c>
      <c r="I21" s="23">
        <f>'6-PlantInService'!J22</f>
        <v>1245055135.6351149</v>
      </c>
      <c r="J21" s="23">
        <f>'6-PlantInService'!K22</f>
        <v>178517523.39752224</v>
      </c>
      <c r="K21" s="23">
        <f>'6-PlantInService'!L22</f>
        <v>77483574.966586709</v>
      </c>
      <c r="L21" s="23">
        <f>'6-PlantInService'!M22</f>
        <v>178430166.24676564</v>
      </c>
      <c r="M21" s="23">
        <f t="shared" si="1"/>
        <v>8156900104.4810877</v>
      </c>
    </row>
    <row r="22" spans="1:13" x14ac:dyDescent="0.2">
      <c r="A22" s="2">
        <f t="shared" si="0"/>
        <v>11</v>
      </c>
      <c r="B22" s="1">
        <v>42644</v>
      </c>
      <c r="C22" s="23">
        <f>'6-PlantInService'!D23</f>
        <v>86813903.174480587</v>
      </c>
      <c r="D22" s="23">
        <f>'6-PlantInService'!E23</f>
        <v>165297497.49586365</v>
      </c>
      <c r="E22" s="23">
        <f>'6-PlantInService'!F23</f>
        <v>517665601.98983687</v>
      </c>
      <c r="F22" s="23">
        <f>'6-PlantInService'!G23</f>
        <v>3188871201.80125</v>
      </c>
      <c r="G22" s="23">
        <f>'6-PlantInService'!H23</f>
        <v>2231665227.0662451</v>
      </c>
      <c r="H22" s="23">
        <f>'6-PlantInService'!I23</f>
        <v>321310132.43241912</v>
      </c>
      <c r="I22" s="23">
        <f>'6-PlantInService'!J23</f>
        <v>1251456010.4862823</v>
      </c>
      <c r="J22" s="23">
        <f>'6-PlantInService'!K23</f>
        <v>180892151.29278865</v>
      </c>
      <c r="K22" s="23">
        <f>'6-PlantInService'!L23</f>
        <v>80351534.418137401</v>
      </c>
      <c r="L22" s="23">
        <f>'6-PlantInService'!M23</f>
        <v>179079774.01582778</v>
      </c>
      <c r="M22" s="23">
        <f t="shared" si="1"/>
        <v>8203403034.173131</v>
      </c>
    </row>
    <row r="23" spans="1:13" x14ac:dyDescent="0.2">
      <c r="A23" s="2">
        <f t="shared" si="0"/>
        <v>12</v>
      </c>
      <c r="B23" s="1">
        <v>42675</v>
      </c>
      <c r="C23" s="23">
        <f>'6-PlantInService'!D24</f>
        <v>86821376.924480587</v>
      </c>
      <c r="D23" s="23">
        <f>'6-PlantInService'!E24</f>
        <v>165325104.26987207</v>
      </c>
      <c r="E23" s="23">
        <f>'6-PlantInService'!F24</f>
        <v>520661331.25752884</v>
      </c>
      <c r="F23" s="23">
        <f>'6-PlantInService'!G24</f>
        <v>3201337814.1615868</v>
      </c>
      <c r="G23" s="23">
        <f>'6-PlantInService'!H24</f>
        <v>2220025051.9682417</v>
      </c>
      <c r="H23" s="23">
        <f>'6-PlantInService'!I24</f>
        <v>322121103.06521958</v>
      </c>
      <c r="I23" s="23">
        <f>'6-PlantInService'!J24</f>
        <v>1251410453.1164365</v>
      </c>
      <c r="J23" s="23">
        <f>'6-PlantInService'!K24</f>
        <v>184358840.71159336</v>
      </c>
      <c r="K23" s="23">
        <f>'6-PlantInService'!L24</f>
        <v>81550529.758004189</v>
      </c>
      <c r="L23" s="23">
        <f>'6-PlantInService'!M24</f>
        <v>179287045.11759129</v>
      </c>
      <c r="M23" s="23">
        <f t="shared" si="1"/>
        <v>8212898650.3505554</v>
      </c>
    </row>
    <row r="24" spans="1:13" x14ac:dyDescent="0.2">
      <c r="A24" s="2">
        <f t="shared" si="0"/>
        <v>13</v>
      </c>
      <c r="B24" s="1">
        <v>42705</v>
      </c>
      <c r="C24" s="23">
        <f>'6-PlantInService'!D25</f>
        <v>86845703.104480594</v>
      </c>
      <c r="D24" s="23">
        <f>'6-PlantInService'!E25</f>
        <v>165326927.2768119</v>
      </c>
      <c r="E24" s="23">
        <f>'6-PlantInService'!F25</f>
        <v>531582610.71770966</v>
      </c>
      <c r="F24" s="23">
        <f>'6-PlantInService'!G25</f>
        <v>3249175449.0339036</v>
      </c>
      <c r="G24" s="23">
        <f>'6-PlantInService'!H25</f>
        <v>2233991232.3950157</v>
      </c>
      <c r="H24" s="23">
        <f>'6-PlantInService'!I25</f>
        <v>324258227.67707634</v>
      </c>
      <c r="I24" s="23">
        <f>'6-PlantInService'!J25</f>
        <v>1235903789.8920355</v>
      </c>
      <c r="J24" s="23">
        <f>'6-PlantInService'!K25</f>
        <v>185508196.51391283</v>
      </c>
      <c r="K24" s="23">
        <f>'6-PlantInService'!L25</f>
        <v>81951071.959831506</v>
      </c>
      <c r="L24" s="23">
        <f>'6-PlantInService'!M25</f>
        <v>182027086.53564012</v>
      </c>
      <c r="M24" s="23">
        <f t="shared" si="1"/>
        <v>8276570295.1064177</v>
      </c>
    </row>
    <row r="25" spans="1:13" x14ac:dyDescent="0.2">
      <c r="A25" s="2">
        <f t="shared" si="0"/>
        <v>14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3" x14ac:dyDescent="0.2">
      <c r="A26" s="2">
        <f t="shared" si="0"/>
        <v>15</v>
      </c>
      <c r="B26" s="4" t="s">
        <v>151</v>
      </c>
      <c r="C26" s="16"/>
      <c r="D26" s="16"/>
      <c r="E26" s="16"/>
      <c r="F26" s="16"/>
      <c r="G26" s="16"/>
      <c r="H26" s="16"/>
      <c r="I26" s="14"/>
      <c r="J26" s="14"/>
      <c r="K26" s="14"/>
      <c r="L26" s="14"/>
      <c r="M26" s="14"/>
    </row>
    <row r="27" spans="1:13" x14ac:dyDescent="0.2">
      <c r="A27" s="2"/>
      <c r="B27" s="8"/>
      <c r="C27" s="16"/>
      <c r="D27" s="16"/>
      <c r="E27" s="16"/>
      <c r="F27" s="16"/>
      <c r="G27" s="14"/>
      <c r="H27" s="14"/>
      <c r="I27" s="14"/>
      <c r="J27" s="14"/>
      <c r="K27" s="14"/>
      <c r="L27" s="14"/>
      <c r="M27" s="14"/>
    </row>
    <row r="28" spans="1:13" x14ac:dyDescent="0.2">
      <c r="A28" s="2"/>
      <c r="B28" s="8"/>
      <c r="C28" s="16"/>
      <c r="D28" s="16"/>
      <c r="E28" s="16"/>
      <c r="F28" s="16"/>
      <c r="G28" s="14"/>
      <c r="H28" s="14"/>
      <c r="I28" s="14"/>
      <c r="J28" s="14"/>
      <c r="K28" s="14"/>
      <c r="L28" s="14"/>
      <c r="M28" s="14"/>
    </row>
    <row r="29" spans="1:13" x14ac:dyDescent="0.2">
      <c r="A29" s="2">
        <f>A26+1</f>
        <v>16</v>
      </c>
      <c r="B29" s="7" t="s">
        <v>19</v>
      </c>
      <c r="C29" s="24">
        <v>350.1</v>
      </c>
      <c r="D29" s="24">
        <v>350.2</v>
      </c>
      <c r="E29" s="24">
        <v>352</v>
      </c>
      <c r="F29" s="24">
        <v>353</v>
      </c>
      <c r="G29" s="19">
        <v>354</v>
      </c>
      <c r="H29" s="19">
        <v>355</v>
      </c>
      <c r="I29" s="19">
        <v>356</v>
      </c>
      <c r="J29" s="19">
        <v>357</v>
      </c>
      <c r="K29" s="19">
        <v>358</v>
      </c>
      <c r="L29" s="19">
        <v>359</v>
      </c>
      <c r="M29" s="3"/>
    </row>
    <row r="30" spans="1:13" x14ac:dyDescent="0.2">
      <c r="A30" s="2" t="s">
        <v>152</v>
      </c>
      <c r="B30" s="1" t="s">
        <v>21</v>
      </c>
      <c r="C30" s="25">
        <v>0</v>
      </c>
      <c r="D30" s="25">
        <v>1.66E-2</v>
      </c>
      <c r="E30" s="25">
        <v>2.5700000000000001E-2</v>
      </c>
      <c r="F30" s="25">
        <v>2.47E-2</v>
      </c>
      <c r="G30" s="25">
        <v>2.4400000000000002E-2</v>
      </c>
      <c r="H30" s="25">
        <v>3.6700000000000003E-2</v>
      </c>
      <c r="I30" s="25">
        <v>3.0499999999999999E-2</v>
      </c>
      <c r="J30" s="25">
        <v>1.6500000000000001E-2</v>
      </c>
      <c r="K30" s="25">
        <v>3.8699999999999998E-2</v>
      </c>
      <c r="L30" s="25">
        <v>1.5599999999999999E-2</v>
      </c>
      <c r="M30" s="14"/>
    </row>
    <row r="31" spans="1:13" x14ac:dyDescent="0.2">
      <c r="A31" s="2" t="s">
        <v>153</v>
      </c>
      <c r="B31" s="1" t="s">
        <v>22</v>
      </c>
      <c r="C31" s="25">
        <v>0</v>
      </c>
      <c r="D31" s="25">
        <v>1.66E-2</v>
      </c>
      <c r="E31" s="25">
        <v>2.5700000000000001E-2</v>
      </c>
      <c r="F31" s="25">
        <v>2.47E-2</v>
      </c>
      <c r="G31" s="25">
        <v>2.4400000000000002E-2</v>
      </c>
      <c r="H31" s="25">
        <v>3.6700000000000003E-2</v>
      </c>
      <c r="I31" s="25">
        <v>3.0499999999999999E-2</v>
      </c>
      <c r="J31" s="25">
        <v>1.6500000000000001E-2</v>
      </c>
      <c r="K31" s="25">
        <v>3.8699999999999998E-2</v>
      </c>
      <c r="L31" s="25">
        <v>1.5599999999999999E-2</v>
      </c>
      <c r="M31" s="14"/>
    </row>
    <row r="32" spans="1:13" x14ac:dyDescent="0.2">
      <c r="A32" s="2" t="s">
        <v>154</v>
      </c>
      <c r="B32" s="1" t="s">
        <v>23</v>
      </c>
      <c r="C32" s="25">
        <v>0</v>
      </c>
      <c r="D32" s="25">
        <v>1.66E-2</v>
      </c>
      <c r="E32" s="25">
        <v>2.5700000000000001E-2</v>
      </c>
      <c r="F32" s="25">
        <v>2.47E-2</v>
      </c>
      <c r="G32" s="25">
        <v>2.4400000000000002E-2</v>
      </c>
      <c r="H32" s="25">
        <v>3.6700000000000003E-2</v>
      </c>
      <c r="I32" s="25">
        <v>3.0499999999999999E-2</v>
      </c>
      <c r="J32" s="25">
        <v>1.6500000000000001E-2</v>
      </c>
      <c r="K32" s="25">
        <v>3.8699999999999998E-2</v>
      </c>
      <c r="L32" s="25">
        <v>1.5599999999999999E-2</v>
      </c>
      <c r="M32" s="14"/>
    </row>
    <row r="33" spans="1:13" x14ac:dyDescent="0.2">
      <c r="A33" s="2" t="s">
        <v>155</v>
      </c>
      <c r="B33" s="1" t="s">
        <v>24</v>
      </c>
      <c r="C33" s="25">
        <v>0</v>
      </c>
      <c r="D33" s="25">
        <v>1.66E-2</v>
      </c>
      <c r="E33" s="25">
        <v>2.5700000000000001E-2</v>
      </c>
      <c r="F33" s="25">
        <v>2.47E-2</v>
      </c>
      <c r="G33" s="25">
        <v>2.4400000000000002E-2</v>
      </c>
      <c r="H33" s="25">
        <v>3.6700000000000003E-2</v>
      </c>
      <c r="I33" s="25">
        <v>3.0499999999999999E-2</v>
      </c>
      <c r="J33" s="25">
        <v>1.6500000000000001E-2</v>
      </c>
      <c r="K33" s="25">
        <v>3.8699999999999998E-2</v>
      </c>
      <c r="L33" s="25">
        <v>1.5599999999999999E-2</v>
      </c>
      <c r="M33" s="14"/>
    </row>
    <row r="34" spans="1:13" x14ac:dyDescent="0.2">
      <c r="A34" s="2" t="s">
        <v>156</v>
      </c>
      <c r="B34" s="1" t="s">
        <v>25</v>
      </c>
      <c r="C34" s="25">
        <v>0</v>
      </c>
      <c r="D34" s="25">
        <v>1.66E-2</v>
      </c>
      <c r="E34" s="25">
        <v>2.5700000000000001E-2</v>
      </c>
      <c r="F34" s="25">
        <v>2.47E-2</v>
      </c>
      <c r="G34" s="25">
        <v>2.4400000000000002E-2</v>
      </c>
      <c r="H34" s="25">
        <v>3.6700000000000003E-2</v>
      </c>
      <c r="I34" s="25">
        <v>3.0499999999999999E-2</v>
      </c>
      <c r="J34" s="25">
        <v>1.6500000000000001E-2</v>
      </c>
      <c r="K34" s="25">
        <v>3.8699999999999998E-2</v>
      </c>
      <c r="L34" s="25">
        <v>1.5599999999999999E-2</v>
      </c>
      <c r="M34" s="14"/>
    </row>
    <row r="35" spans="1:13" x14ac:dyDescent="0.2">
      <c r="A35" s="2" t="s">
        <v>157</v>
      </c>
      <c r="B35" s="1" t="s">
        <v>26</v>
      </c>
      <c r="C35" s="25">
        <v>0</v>
      </c>
      <c r="D35" s="25">
        <v>1.66E-2</v>
      </c>
      <c r="E35" s="25">
        <v>2.5700000000000001E-2</v>
      </c>
      <c r="F35" s="25">
        <v>2.47E-2</v>
      </c>
      <c r="G35" s="25">
        <v>2.4400000000000002E-2</v>
      </c>
      <c r="H35" s="25">
        <v>3.6700000000000003E-2</v>
      </c>
      <c r="I35" s="25">
        <v>3.0499999999999999E-2</v>
      </c>
      <c r="J35" s="25">
        <v>1.6500000000000001E-2</v>
      </c>
      <c r="K35" s="25">
        <v>3.8699999999999998E-2</v>
      </c>
      <c r="L35" s="25">
        <v>1.5599999999999999E-2</v>
      </c>
      <c r="M35" s="14"/>
    </row>
    <row r="36" spans="1:13" x14ac:dyDescent="0.2">
      <c r="A36" s="2" t="s">
        <v>158</v>
      </c>
      <c r="B36" s="1" t="s">
        <v>27</v>
      </c>
      <c r="C36" s="25">
        <v>0</v>
      </c>
      <c r="D36" s="25">
        <v>1.66E-2</v>
      </c>
      <c r="E36" s="25">
        <v>2.5700000000000001E-2</v>
      </c>
      <c r="F36" s="25">
        <v>2.47E-2</v>
      </c>
      <c r="G36" s="25">
        <v>2.4400000000000002E-2</v>
      </c>
      <c r="H36" s="25">
        <v>3.6700000000000003E-2</v>
      </c>
      <c r="I36" s="25">
        <v>3.0499999999999999E-2</v>
      </c>
      <c r="J36" s="25">
        <v>1.6500000000000001E-2</v>
      </c>
      <c r="K36" s="25">
        <v>3.8699999999999998E-2</v>
      </c>
      <c r="L36" s="25">
        <v>1.5599999999999999E-2</v>
      </c>
      <c r="M36" s="14"/>
    </row>
    <row r="37" spans="1:13" x14ac:dyDescent="0.2">
      <c r="A37" s="2" t="s">
        <v>159</v>
      </c>
      <c r="B37" s="1" t="s">
        <v>28</v>
      </c>
      <c r="C37" s="25">
        <v>0</v>
      </c>
      <c r="D37" s="25">
        <v>1.66E-2</v>
      </c>
      <c r="E37" s="25">
        <v>2.5700000000000001E-2</v>
      </c>
      <c r="F37" s="25">
        <v>2.47E-2</v>
      </c>
      <c r="G37" s="25">
        <v>2.4400000000000002E-2</v>
      </c>
      <c r="H37" s="25">
        <v>3.6700000000000003E-2</v>
      </c>
      <c r="I37" s="25">
        <v>3.0499999999999999E-2</v>
      </c>
      <c r="J37" s="25">
        <v>1.6500000000000001E-2</v>
      </c>
      <c r="K37" s="25">
        <v>3.8699999999999998E-2</v>
      </c>
      <c r="L37" s="25">
        <v>1.5599999999999999E-2</v>
      </c>
      <c r="M37" s="14"/>
    </row>
    <row r="38" spans="1:13" x14ac:dyDescent="0.2">
      <c r="A38" s="2" t="s">
        <v>160</v>
      </c>
      <c r="B38" s="1" t="s">
        <v>29</v>
      </c>
      <c r="C38" s="25">
        <v>0</v>
      </c>
      <c r="D38" s="25">
        <v>1.66E-2</v>
      </c>
      <c r="E38" s="25">
        <v>2.5700000000000001E-2</v>
      </c>
      <c r="F38" s="25">
        <v>2.47E-2</v>
      </c>
      <c r="G38" s="25">
        <v>2.4400000000000002E-2</v>
      </c>
      <c r="H38" s="25">
        <v>3.6700000000000003E-2</v>
      </c>
      <c r="I38" s="25">
        <v>3.0499999999999999E-2</v>
      </c>
      <c r="J38" s="25">
        <v>1.6500000000000001E-2</v>
      </c>
      <c r="K38" s="25">
        <v>3.8699999999999998E-2</v>
      </c>
      <c r="L38" s="25">
        <v>1.5599999999999999E-2</v>
      </c>
      <c r="M38" s="14"/>
    </row>
    <row r="39" spans="1:13" x14ac:dyDescent="0.2">
      <c r="A39" s="2" t="s">
        <v>161</v>
      </c>
      <c r="B39" s="1" t="s">
        <v>30</v>
      </c>
      <c r="C39" s="25">
        <v>0</v>
      </c>
      <c r="D39" s="25">
        <v>1.66E-2</v>
      </c>
      <c r="E39" s="25">
        <v>2.5700000000000001E-2</v>
      </c>
      <c r="F39" s="25">
        <v>2.47E-2</v>
      </c>
      <c r="G39" s="25">
        <v>2.4400000000000002E-2</v>
      </c>
      <c r="H39" s="25">
        <v>3.6700000000000003E-2</v>
      </c>
      <c r="I39" s="25">
        <v>3.0499999999999999E-2</v>
      </c>
      <c r="J39" s="25">
        <v>1.6500000000000001E-2</v>
      </c>
      <c r="K39" s="25">
        <v>3.8699999999999998E-2</v>
      </c>
      <c r="L39" s="25">
        <v>1.5599999999999999E-2</v>
      </c>
      <c r="M39" s="14"/>
    </row>
    <row r="40" spans="1:13" x14ac:dyDescent="0.2">
      <c r="A40" s="2" t="s">
        <v>162</v>
      </c>
      <c r="B40" s="1" t="s">
        <v>31</v>
      </c>
      <c r="C40" s="25">
        <v>0</v>
      </c>
      <c r="D40" s="25">
        <v>1.66E-2</v>
      </c>
      <c r="E40" s="25">
        <v>2.5700000000000001E-2</v>
      </c>
      <c r="F40" s="25">
        <v>2.47E-2</v>
      </c>
      <c r="G40" s="25">
        <v>2.4400000000000002E-2</v>
      </c>
      <c r="H40" s="25">
        <v>3.6700000000000003E-2</v>
      </c>
      <c r="I40" s="25">
        <v>3.0499999999999999E-2</v>
      </c>
      <c r="J40" s="25">
        <v>1.6500000000000001E-2</v>
      </c>
      <c r="K40" s="25">
        <v>3.8699999999999998E-2</v>
      </c>
      <c r="L40" s="25">
        <v>1.5599999999999999E-2</v>
      </c>
      <c r="M40" s="14"/>
    </row>
    <row r="41" spans="1:13" x14ac:dyDescent="0.2">
      <c r="A41" s="2" t="s">
        <v>163</v>
      </c>
      <c r="B41" s="1" t="s">
        <v>32</v>
      </c>
      <c r="C41" s="25">
        <v>0</v>
      </c>
      <c r="D41" s="25">
        <v>1.66E-2</v>
      </c>
      <c r="E41" s="25">
        <v>2.5700000000000001E-2</v>
      </c>
      <c r="F41" s="25">
        <v>2.47E-2</v>
      </c>
      <c r="G41" s="25">
        <v>2.4400000000000002E-2</v>
      </c>
      <c r="H41" s="25">
        <v>3.6700000000000003E-2</v>
      </c>
      <c r="I41" s="25">
        <v>3.0499999999999999E-2</v>
      </c>
      <c r="J41" s="25">
        <v>1.6500000000000001E-2</v>
      </c>
      <c r="K41" s="25">
        <v>3.8699999999999998E-2</v>
      </c>
      <c r="L41" s="25">
        <v>1.5599999999999999E-2</v>
      </c>
      <c r="M41" s="14"/>
    </row>
    <row r="42" spans="1:13" x14ac:dyDescent="0.2">
      <c r="A42" s="2" t="s">
        <v>164</v>
      </c>
      <c r="B42" s="1" t="s">
        <v>33</v>
      </c>
      <c r="C42" s="25">
        <v>0</v>
      </c>
      <c r="D42" s="25">
        <v>1.66E-2</v>
      </c>
      <c r="E42" s="25">
        <v>2.5700000000000001E-2</v>
      </c>
      <c r="F42" s="25">
        <v>2.47E-2</v>
      </c>
      <c r="G42" s="25">
        <v>2.4400000000000002E-2</v>
      </c>
      <c r="H42" s="25">
        <v>3.6700000000000003E-2</v>
      </c>
      <c r="I42" s="25">
        <v>3.0499999999999999E-2</v>
      </c>
      <c r="J42" s="25">
        <v>1.6500000000000001E-2</v>
      </c>
      <c r="K42" s="25">
        <v>3.8699999999999998E-2</v>
      </c>
      <c r="L42" s="25">
        <v>1.5599999999999999E-2</v>
      </c>
      <c r="M42" s="14"/>
    </row>
    <row r="43" spans="1:13" x14ac:dyDescent="0.2">
      <c r="A43" s="2">
        <v>18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14"/>
    </row>
    <row r="44" spans="1:13" x14ac:dyDescent="0.2">
      <c r="A44" s="2">
        <f t="shared" ref="A44:A63" si="2">A43+1</f>
        <v>19</v>
      </c>
      <c r="B44" s="6" t="s">
        <v>165</v>
      </c>
      <c r="C44" s="27"/>
      <c r="D44" s="27"/>
      <c r="E44" s="27"/>
      <c r="F44" s="27"/>
      <c r="G44" s="28" t="s">
        <v>166</v>
      </c>
      <c r="H44" s="27"/>
      <c r="I44" s="26"/>
      <c r="J44" s="26"/>
      <c r="K44" s="26"/>
      <c r="L44" s="26"/>
      <c r="M44" s="14"/>
    </row>
    <row r="45" spans="1:13" x14ac:dyDescent="0.2">
      <c r="A45" s="2">
        <f t="shared" si="2"/>
        <v>20</v>
      </c>
      <c r="B45" s="16"/>
      <c r="C45" s="16"/>
      <c r="D45" s="16"/>
      <c r="E45" s="16"/>
      <c r="F45" s="16"/>
      <c r="G45" s="16"/>
      <c r="H45" s="16"/>
      <c r="I45" s="14"/>
      <c r="J45" s="14"/>
      <c r="K45" s="14"/>
      <c r="L45" s="14"/>
      <c r="M45" s="14"/>
    </row>
    <row r="46" spans="1:13" x14ac:dyDescent="0.2">
      <c r="A46" s="2">
        <f t="shared" si="2"/>
        <v>21</v>
      </c>
      <c r="B46" s="8"/>
      <c r="C46" s="29" t="s">
        <v>139</v>
      </c>
      <c r="D46" s="16"/>
      <c r="E46" s="16"/>
      <c r="F46" s="16"/>
      <c r="G46" s="16"/>
      <c r="H46" s="16"/>
      <c r="I46" s="14"/>
      <c r="J46" s="14"/>
      <c r="K46" s="14"/>
      <c r="L46" s="14"/>
      <c r="M46" s="14"/>
    </row>
    <row r="47" spans="1:13" x14ac:dyDescent="0.2">
      <c r="A47" s="2">
        <f t="shared" si="2"/>
        <v>22</v>
      </c>
      <c r="B47" s="8"/>
      <c r="C47" s="29" t="s">
        <v>137</v>
      </c>
      <c r="D47" s="16"/>
      <c r="E47" s="16"/>
      <c r="F47" s="16"/>
      <c r="G47" s="16"/>
      <c r="H47" s="16"/>
      <c r="I47" s="14"/>
      <c r="J47" s="14"/>
      <c r="K47" s="14"/>
      <c r="L47" s="14"/>
      <c r="M47" s="2" t="s">
        <v>55</v>
      </c>
    </row>
    <row r="48" spans="1:13" x14ac:dyDescent="0.2">
      <c r="A48" s="2">
        <f t="shared" si="2"/>
        <v>23</v>
      </c>
      <c r="B48" s="7" t="s">
        <v>19</v>
      </c>
      <c r="C48" s="24">
        <v>350.1</v>
      </c>
      <c r="D48" s="24">
        <v>350.2</v>
      </c>
      <c r="E48" s="24">
        <v>352</v>
      </c>
      <c r="F48" s="24">
        <v>353</v>
      </c>
      <c r="G48" s="24">
        <v>354</v>
      </c>
      <c r="H48" s="24">
        <v>355</v>
      </c>
      <c r="I48" s="19">
        <v>356</v>
      </c>
      <c r="J48" s="19">
        <v>357</v>
      </c>
      <c r="K48" s="19">
        <v>358</v>
      </c>
      <c r="L48" s="19">
        <v>359</v>
      </c>
      <c r="M48" s="3" t="s">
        <v>20</v>
      </c>
    </row>
    <row r="49" spans="1:13" x14ac:dyDescent="0.2">
      <c r="A49" s="2">
        <f t="shared" si="2"/>
        <v>24</v>
      </c>
      <c r="B49" s="1" t="s">
        <v>22</v>
      </c>
      <c r="C49" s="30">
        <f t="shared" ref="C49:C60" si="3">C12*$C$30/12</f>
        <v>0</v>
      </c>
      <c r="D49" s="30">
        <f>D12*$D30/12</f>
        <v>225583.59739690754</v>
      </c>
      <c r="E49" s="30">
        <f t="shared" ref="E49:E60" si="4">E12*$E30/12</f>
        <v>1007565.0213038283</v>
      </c>
      <c r="F49" s="30">
        <f t="shared" ref="F49:F60" si="5">F12*$F30/12</f>
        <v>6237114.8330042399</v>
      </c>
      <c r="G49" s="30">
        <f t="shared" ref="G49:G60" si="6">G12*$G30/12</f>
        <v>4401399.6177432351</v>
      </c>
      <c r="H49" s="30">
        <f t="shared" ref="H49:H60" si="7">H12*$H30/12</f>
        <v>950158.61521621933</v>
      </c>
      <c r="I49" s="30">
        <f t="shared" ref="I49:I60" si="8">I12*$I30/12</f>
        <v>3150767.3759587468</v>
      </c>
      <c r="J49" s="30">
        <f t="shared" ref="J49:J60" si="9">J12*$J30/12</f>
        <v>304.44752882100636</v>
      </c>
      <c r="K49" s="30">
        <f t="shared" ref="K49:K60" si="10">K12*$K30/12</f>
        <v>41963.468362346241</v>
      </c>
      <c r="L49" s="30">
        <f t="shared" ref="L49:L60" si="11">L12*$L30/12</f>
        <v>243213.80300619177</v>
      </c>
      <c r="M49" s="23">
        <f t="shared" ref="M49:M60" si="12">SUM(C49:L49)</f>
        <v>16258070.779520536</v>
      </c>
    </row>
    <row r="50" spans="1:13" x14ac:dyDescent="0.2">
      <c r="A50" s="2">
        <f t="shared" si="2"/>
        <v>25</v>
      </c>
      <c r="B50" s="1" t="s">
        <v>23</v>
      </c>
      <c r="C50" s="30">
        <f t="shared" si="3"/>
        <v>0</v>
      </c>
      <c r="D50" s="30">
        <f t="shared" ref="D50:D60" si="13">D13*$D31/12</f>
        <v>225607.03789604429</v>
      </c>
      <c r="E50" s="30">
        <f t="shared" si="4"/>
        <v>1023261.8554022125</v>
      </c>
      <c r="F50" s="30">
        <f t="shared" si="5"/>
        <v>6253706.8165471395</v>
      </c>
      <c r="G50" s="30">
        <f t="shared" si="6"/>
        <v>4371369.9533594688</v>
      </c>
      <c r="H50" s="30">
        <f t="shared" si="7"/>
        <v>955630.01242536923</v>
      </c>
      <c r="I50" s="30">
        <f t="shared" si="8"/>
        <v>3155706.8466422656</v>
      </c>
      <c r="J50" s="30">
        <f t="shared" si="9"/>
        <v>304.45084389426069</v>
      </c>
      <c r="K50" s="30">
        <f t="shared" si="10"/>
        <v>41977.510775478644</v>
      </c>
      <c r="L50" s="30">
        <f t="shared" si="11"/>
        <v>243555.64767855001</v>
      </c>
      <c r="M50" s="23">
        <f t="shared" si="12"/>
        <v>16271120.131570421</v>
      </c>
    </row>
    <row r="51" spans="1:13" x14ac:dyDescent="0.2">
      <c r="A51" s="2">
        <f t="shared" si="2"/>
        <v>26</v>
      </c>
      <c r="B51" s="1" t="s">
        <v>24</v>
      </c>
      <c r="C51" s="30">
        <f t="shared" si="3"/>
        <v>0</v>
      </c>
      <c r="D51" s="30">
        <f t="shared" si="13"/>
        <v>225602.44091989286</v>
      </c>
      <c r="E51" s="30">
        <f t="shared" si="4"/>
        <v>1007134.2313849287</v>
      </c>
      <c r="F51" s="30">
        <f t="shared" si="5"/>
        <v>6295913.0519306241</v>
      </c>
      <c r="G51" s="30">
        <f t="shared" si="6"/>
        <v>4375765.670350899</v>
      </c>
      <c r="H51" s="30">
        <f t="shared" si="7"/>
        <v>959033.33577828633</v>
      </c>
      <c r="I51" s="30">
        <f t="shared" si="8"/>
        <v>3158034.6581515786</v>
      </c>
      <c r="J51" s="30">
        <f t="shared" si="9"/>
        <v>304.45075568615761</v>
      </c>
      <c r="K51" s="30">
        <f t="shared" si="10"/>
        <v>41978.363122232979</v>
      </c>
      <c r="L51" s="30">
        <f t="shared" si="11"/>
        <v>243946.59053604017</v>
      </c>
      <c r="M51" s="23">
        <f t="shared" si="12"/>
        <v>16307712.792930165</v>
      </c>
    </row>
    <row r="52" spans="1:13" x14ac:dyDescent="0.2">
      <c r="A52" s="2">
        <f t="shared" si="2"/>
        <v>27</v>
      </c>
      <c r="B52" s="1" t="s">
        <v>25</v>
      </c>
      <c r="C52" s="30">
        <f t="shared" si="3"/>
        <v>0</v>
      </c>
      <c r="D52" s="30">
        <f t="shared" si="13"/>
        <v>225694.47100862031</v>
      </c>
      <c r="E52" s="30">
        <f t="shared" si="4"/>
        <v>1020374.7412884677</v>
      </c>
      <c r="F52" s="30">
        <f t="shared" si="5"/>
        <v>6332758.0081657292</v>
      </c>
      <c r="G52" s="30">
        <f t="shared" si="6"/>
        <v>4373027.8876001127</v>
      </c>
      <c r="H52" s="30">
        <f t="shared" si="7"/>
        <v>965190.28206318954</v>
      </c>
      <c r="I52" s="30">
        <f t="shared" si="8"/>
        <v>3165449.5461575598</v>
      </c>
      <c r="J52" s="30">
        <f t="shared" si="9"/>
        <v>304.45085180641018</v>
      </c>
      <c r="K52" s="30">
        <f t="shared" si="10"/>
        <v>41990.094826965513</v>
      </c>
      <c r="L52" s="30">
        <f t="shared" si="11"/>
        <v>247260.25816672342</v>
      </c>
      <c r="M52" s="23">
        <f t="shared" si="12"/>
        <v>16372049.740129173</v>
      </c>
    </row>
    <row r="53" spans="1:13" x14ac:dyDescent="0.2">
      <c r="A53" s="2">
        <f t="shared" si="2"/>
        <v>28</v>
      </c>
      <c r="B53" s="1" t="s">
        <v>26</v>
      </c>
      <c r="C53" s="30">
        <f t="shared" si="3"/>
        <v>0</v>
      </c>
      <c r="D53" s="30">
        <f t="shared" si="13"/>
        <v>225756.69193343419</v>
      </c>
      <c r="E53" s="30">
        <f t="shared" si="4"/>
        <v>1052433.6541380894</v>
      </c>
      <c r="F53" s="30">
        <f t="shared" si="5"/>
        <v>6359122.4206836661</v>
      </c>
      <c r="G53" s="30">
        <f t="shared" si="6"/>
        <v>4383625.5826376835</v>
      </c>
      <c r="H53" s="30">
        <f t="shared" si="7"/>
        <v>968841.60833036853</v>
      </c>
      <c r="I53" s="30">
        <f t="shared" si="8"/>
        <v>3166758.4248763383</v>
      </c>
      <c r="J53" s="30">
        <f t="shared" si="9"/>
        <v>304.45907217835946</v>
      </c>
      <c r="K53" s="30">
        <f t="shared" si="10"/>
        <v>47521.050717346465</v>
      </c>
      <c r="L53" s="30">
        <f t="shared" si="11"/>
        <v>247770.74355876318</v>
      </c>
      <c r="M53" s="23">
        <f t="shared" si="12"/>
        <v>16452134.635947866</v>
      </c>
    </row>
    <row r="54" spans="1:13" x14ac:dyDescent="0.2">
      <c r="A54" s="2">
        <f t="shared" si="2"/>
        <v>29</v>
      </c>
      <c r="B54" s="1" t="s">
        <v>27</v>
      </c>
      <c r="C54" s="30">
        <f t="shared" si="3"/>
        <v>0</v>
      </c>
      <c r="D54" s="30">
        <f t="shared" si="13"/>
        <v>225766.7728267796</v>
      </c>
      <c r="E54" s="30">
        <f t="shared" si="4"/>
        <v>1053421.9414383643</v>
      </c>
      <c r="F54" s="30">
        <f t="shared" si="5"/>
        <v>6361734.3859366933</v>
      </c>
      <c r="G54" s="30">
        <f t="shared" si="6"/>
        <v>4370279.4528649552</v>
      </c>
      <c r="H54" s="30">
        <f t="shared" si="7"/>
        <v>971124.7435617334</v>
      </c>
      <c r="I54" s="30">
        <f t="shared" si="8"/>
        <v>3167634.0336603057</v>
      </c>
      <c r="J54" s="30">
        <f t="shared" si="9"/>
        <v>304.45992006836337</v>
      </c>
      <c r="K54" s="30">
        <f t="shared" si="10"/>
        <v>48643.772078519287</v>
      </c>
      <c r="L54" s="30">
        <f t="shared" si="11"/>
        <v>248325.4964492156</v>
      </c>
      <c r="M54" s="23">
        <f t="shared" si="12"/>
        <v>16447235.058736637</v>
      </c>
    </row>
    <row r="55" spans="1:13" x14ac:dyDescent="0.2">
      <c r="A55" s="2">
        <f t="shared" si="2"/>
        <v>30</v>
      </c>
      <c r="B55" s="1" t="s">
        <v>28</v>
      </c>
      <c r="C55" s="30">
        <f t="shared" si="3"/>
        <v>0</v>
      </c>
      <c r="D55" s="30">
        <f t="shared" si="13"/>
        <v>225460.22911005083</v>
      </c>
      <c r="E55" s="30">
        <f t="shared" si="4"/>
        <v>1062404.7198685934</v>
      </c>
      <c r="F55" s="30">
        <f t="shared" si="5"/>
        <v>6422507.4456291338</v>
      </c>
      <c r="G55" s="30">
        <f t="shared" si="6"/>
        <v>4494709.5161926895</v>
      </c>
      <c r="H55" s="30">
        <f t="shared" si="7"/>
        <v>973926.41968384525</v>
      </c>
      <c r="I55" s="30">
        <f t="shared" si="8"/>
        <v>3170082.610571966</v>
      </c>
      <c r="J55" s="30">
        <f t="shared" si="9"/>
        <v>304.47140405474539</v>
      </c>
      <c r="K55" s="30">
        <f t="shared" si="10"/>
        <v>48848.064957530907</v>
      </c>
      <c r="L55" s="30">
        <f t="shared" si="11"/>
        <v>249834.11555100439</v>
      </c>
      <c r="M55" s="23">
        <f t="shared" si="12"/>
        <v>16648077.59296887</v>
      </c>
    </row>
    <row r="56" spans="1:13" x14ac:dyDescent="0.2">
      <c r="A56" s="2">
        <f t="shared" si="2"/>
        <v>31</v>
      </c>
      <c r="B56" s="1" t="s">
        <v>29</v>
      </c>
      <c r="C56" s="30">
        <f t="shared" si="3"/>
        <v>0</v>
      </c>
      <c r="D56" s="30">
        <f t="shared" si="13"/>
        <v>225469.68924774564</v>
      </c>
      <c r="E56" s="30">
        <f t="shared" si="4"/>
        <v>1073549.2487121322</v>
      </c>
      <c r="F56" s="30">
        <f t="shared" si="5"/>
        <v>6526692.8914938243</v>
      </c>
      <c r="G56" s="30">
        <f t="shared" si="6"/>
        <v>4499135.0878472412</v>
      </c>
      <c r="H56" s="30">
        <f t="shared" si="7"/>
        <v>975999.27373322798</v>
      </c>
      <c r="I56" s="30">
        <f t="shared" si="8"/>
        <v>3170272.3668242185</v>
      </c>
      <c r="J56" s="30">
        <f t="shared" si="9"/>
        <v>304.47355185389705</v>
      </c>
      <c r="K56" s="30">
        <f t="shared" si="10"/>
        <v>48858.186520504503</v>
      </c>
      <c r="L56" s="30">
        <f t="shared" si="11"/>
        <v>250178.70147308972</v>
      </c>
      <c r="M56" s="23">
        <f t="shared" si="12"/>
        <v>16770459.919403838</v>
      </c>
    </row>
    <row r="57" spans="1:13" x14ac:dyDescent="0.2">
      <c r="A57" s="2">
        <f t="shared" si="2"/>
        <v>32</v>
      </c>
      <c r="B57" s="1" t="s">
        <v>30</v>
      </c>
      <c r="C57" s="30">
        <f t="shared" si="3"/>
        <v>0</v>
      </c>
      <c r="D57" s="30">
        <f t="shared" si="13"/>
        <v>225492.18546291921</v>
      </c>
      <c r="E57" s="30">
        <f t="shared" si="4"/>
        <v>1073073.9345191496</v>
      </c>
      <c r="F57" s="30">
        <f t="shared" si="5"/>
        <v>6527124.2856593318</v>
      </c>
      <c r="G57" s="30">
        <f t="shared" si="6"/>
        <v>4530843.7498756265</v>
      </c>
      <c r="H57" s="30">
        <f t="shared" si="7"/>
        <v>977795.61832006031</v>
      </c>
      <c r="I57" s="30">
        <f t="shared" si="8"/>
        <v>3155449.0582343843</v>
      </c>
      <c r="J57" s="30">
        <f t="shared" si="9"/>
        <v>304.47589046277523</v>
      </c>
      <c r="K57" s="30">
        <f t="shared" si="10"/>
        <v>48846.147687376208</v>
      </c>
      <c r="L57" s="30">
        <f t="shared" si="11"/>
        <v>231985.84983574858</v>
      </c>
      <c r="M57" s="23">
        <f t="shared" si="12"/>
        <v>16770915.305485059</v>
      </c>
    </row>
    <row r="58" spans="1:13" x14ac:dyDescent="0.2">
      <c r="A58" s="2">
        <f t="shared" si="2"/>
        <v>33</v>
      </c>
      <c r="B58" s="1" t="s">
        <v>31</v>
      </c>
      <c r="C58" s="30">
        <f t="shared" si="3"/>
        <v>0</v>
      </c>
      <c r="D58" s="30">
        <f t="shared" si="13"/>
        <v>228525.63861875562</v>
      </c>
      <c r="E58" s="30">
        <f t="shared" si="4"/>
        <v>1076670.3308589796</v>
      </c>
      <c r="F58" s="30">
        <f t="shared" si="5"/>
        <v>6534473.676840757</v>
      </c>
      <c r="G58" s="30">
        <f t="shared" si="6"/>
        <v>4529435.8456503255</v>
      </c>
      <c r="H58" s="30">
        <f t="shared" si="7"/>
        <v>980011.77037426771</v>
      </c>
      <c r="I58" s="30">
        <f t="shared" si="8"/>
        <v>3164515.1364059169</v>
      </c>
      <c r="J58" s="30">
        <f t="shared" si="9"/>
        <v>245461.59467159308</v>
      </c>
      <c r="K58" s="30">
        <f>K21*$K39/12</f>
        <v>249884.52926724215</v>
      </c>
      <c r="L58" s="30">
        <f t="shared" si="11"/>
        <v>231959.21612079532</v>
      </c>
      <c r="M58" s="23">
        <f t="shared" si="12"/>
        <v>17240937.738808632</v>
      </c>
    </row>
    <row r="59" spans="1:13" x14ac:dyDescent="0.2">
      <c r="A59" s="2">
        <f t="shared" si="2"/>
        <v>34</v>
      </c>
      <c r="B59" s="1" t="s">
        <v>32</v>
      </c>
      <c r="C59" s="30">
        <f t="shared" si="3"/>
        <v>0</v>
      </c>
      <c r="D59" s="30">
        <f t="shared" si="13"/>
        <v>228661.53820261138</v>
      </c>
      <c r="E59" s="30">
        <f t="shared" si="4"/>
        <v>1108667.1642615672</v>
      </c>
      <c r="F59" s="30">
        <f t="shared" si="5"/>
        <v>6563759.8903742395</v>
      </c>
      <c r="G59" s="30">
        <f t="shared" si="6"/>
        <v>4537719.2950346982</v>
      </c>
      <c r="H59" s="30">
        <f t="shared" si="7"/>
        <v>982673.48835581529</v>
      </c>
      <c r="I59" s="30">
        <f t="shared" si="8"/>
        <v>3180784.0266526341</v>
      </c>
      <c r="J59" s="30">
        <f t="shared" si="9"/>
        <v>248726.70802758439</v>
      </c>
      <c r="K59" s="30">
        <f t="shared" si="10"/>
        <v>259133.69849849309</v>
      </c>
      <c r="L59" s="30">
        <f t="shared" si="11"/>
        <v>232803.7062205761</v>
      </c>
      <c r="M59" s="23">
        <f t="shared" si="12"/>
        <v>17342929.515628219</v>
      </c>
    </row>
    <row r="60" spans="1:13" x14ac:dyDescent="0.2">
      <c r="A60" s="2">
        <f t="shared" si="2"/>
        <v>35</v>
      </c>
      <c r="B60" s="1" t="s">
        <v>33</v>
      </c>
      <c r="C60" s="30">
        <f t="shared" si="3"/>
        <v>0</v>
      </c>
      <c r="D60" s="30">
        <f t="shared" si="13"/>
        <v>228699.72757332303</v>
      </c>
      <c r="E60" s="30">
        <f t="shared" si="4"/>
        <v>1115083.0177765409</v>
      </c>
      <c r="F60" s="30">
        <f t="shared" si="5"/>
        <v>6589420.3341492666</v>
      </c>
      <c r="G60" s="30">
        <f t="shared" si="6"/>
        <v>4514050.939002092</v>
      </c>
      <c r="H60" s="30">
        <f t="shared" si="7"/>
        <v>985153.70687446324</v>
      </c>
      <c r="I60" s="30">
        <f t="shared" si="8"/>
        <v>3180668.235004276</v>
      </c>
      <c r="J60" s="30">
        <f t="shared" si="9"/>
        <v>253493.40597844089</v>
      </c>
      <c r="K60" s="30">
        <f t="shared" si="10"/>
        <v>263000.45846956351</v>
      </c>
      <c r="L60" s="30">
        <f t="shared" si="11"/>
        <v>233073.15865286867</v>
      </c>
      <c r="M60" s="31">
        <f t="shared" si="12"/>
        <v>17362642.983480833</v>
      </c>
    </row>
    <row r="61" spans="1:13" x14ac:dyDescent="0.2">
      <c r="A61" s="2">
        <f t="shared" si="2"/>
        <v>36</v>
      </c>
      <c r="B61" s="32" t="s">
        <v>167</v>
      </c>
      <c r="C61" s="23">
        <f t="shared" ref="C61:L61" si="14">SUM(C49:C60)</f>
        <v>0</v>
      </c>
      <c r="D61" s="23">
        <f t="shared" si="14"/>
        <v>2716320.0201970846</v>
      </c>
      <c r="E61" s="23">
        <f t="shared" si="14"/>
        <v>12673639.860952852</v>
      </c>
      <c r="F61" s="23">
        <f t="shared" si="14"/>
        <v>77004328.040414661</v>
      </c>
      <c r="G61" s="23">
        <f t="shared" si="14"/>
        <v>53381362.598159023</v>
      </c>
      <c r="H61" s="23">
        <f t="shared" si="14"/>
        <v>11645538.874716848</v>
      </c>
      <c r="I61" s="23">
        <f t="shared" si="14"/>
        <v>37986122.319140188</v>
      </c>
      <c r="J61" s="23">
        <f t="shared" si="14"/>
        <v>750421.84849644429</v>
      </c>
      <c r="K61" s="23">
        <f t="shared" si="14"/>
        <v>1182645.3452835996</v>
      </c>
      <c r="L61" s="23">
        <f t="shared" si="14"/>
        <v>2903907.287249567</v>
      </c>
      <c r="M61" s="33"/>
    </row>
    <row r="62" spans="1:13" x14ac:dyDescent="0.2">
      <c r="A62" s="2">
        <f t="shared" si="2"/>
        <v>37</v>
      </c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34" t="s">
        <v>168</v>
      </c>
      <c r="M62" s="23">
        <f>SUM(M49:M60)</f>
        <v>200244286.19461024</v>
      </c>
    </row>
    <row r="63" spans="1:13" x14ac:dyDescent="0.2">
      <c r="A63" s="2">
        <f t="shared" si="2"/>
        <v>38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35" t="s">
        <v>169</v>
      </c>
      <c r="M63" s="14"/>
    </row>
    <row r="64" spans="1:13" x14ac:dyDescent="0.2">
      <c r="A64" s="2"/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spans="1:13" x14ac:dyDescent="0.2">
      <c r="A65" s="2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1:13" x14ac:dyDescent="0.2">
      <c r="A66" s="2"/>
      <c r="B66" s="14"/>
      <c r="C66" s="14"/>
      <c r="D66" s="19"/>
      <c r="E66" s="19"/>
      <c r="F66" s="19"/>
      <c r="G66" s="14"/>
      <c r="H66" s="22"/>
      <c r="I66" s="3"/>
      <c r="J66" s="14"/>
      <c r="K66" s="14"/>
      <c r="L66" s="14"/>
      <c r="M66" s="14"/>
    </row>
    <row r="67" spans="1:13" x14ac:dyDescent="0.2">
      <c r="A67" s="2"/>
      <c r="B67" s="10"/>
      <c r="C67" s="14"/>
      <c r="D67" s="30"/>
      <c r="E67" s="30"/>
      <c r="F67" s="30"/>
      <c r="G67" s="16"/>
      <c r="H67" s="6"/>
      <c r="I67" s="36"/>
      <c r="J67" s="14"/>
      <c r="K67" s="14"/>
      <c r="L67" s="14"/>
      <c r="M67" s="14"/>
    </row>
    <row r="68" spans="1:13" x14ac:dyDescent="0.2">
      <c r="A68" s="2"/>
      <c r="B68" s="10"/>
      <c r="C68" s="14"/>
      <c r="D68" s="37"/>
      <c r="E68" s="37"/>
      <c r="F68" s="37"/>
      <c r="G68" s="16"/>
      <c r="H68" s="6"/>
      <c r="I68" s="14"/>
      <c r="J68" s="14"/>
      <c r="K68" s="14"/>
      <c r="M68" s="14"/>
    </row>
    <row r="69" spans="1:13" x14ac:dyDescent="0.2">
      <c r="A69" s="2"/>
      <c r="B69" s="10"/>
      <c r="C69" s="14"/>
      <c r="D69" s="30"/>
      <c r="E69" s="30"/>
      <c r="F69" s="30"/>
      <c r="G69" s="16"/>
      <c r="H69" s="38"/>
      <c r="I69" s="36"/>
      <c r="J69" s="14"/>
      <c r="K69" s="14"/>
      <c r="M69" s="14"/>
    </row>
    <row r="70" spans="1:13" x14ac:dyDescent="0.2">
      <c r="A70" s="2"/>
      <c r="D70" s="5"/>
      <c r="E70" s="5"/>
      <c r="F70" s="5"/>
      <c r="G70" s="5"/>
      <c r="H70" s="5"/>
      <c r="J70" s="14"/>
      <c r="K70" s="14"/>
      <c r="M70" s="14"/>
    </row>
    <row r="71" spans="1:13" x14ac:dyDescent="0.2">
      <c r="A71" s="2"/>
      <c r="B71" s="4"/>
      <c r="C71" s="14"/>
      <c r="D71" s="16"/>
      <c r="E71" s="16"/>
      <c r="F71" s="5"/>
      <c r="G71" s="5"/>
      <c r="H71" s="5"/>
      <c r="J71" s="16"/>
      <c r="K71" s="16"/>
      <c r="L71" s="30"/>
      <c r="M71" s="14"/>
    </row>
    <row r="72" spans="1:13" x14ac:dyDescent="0.2">
      <c r="A72" s="2"/>
      <c r="B72" s="14"/>
      <c r="D72" s="24"/>
      <c r="E72" s="24"/>
      <c r="F72" s="24"/>
      <c r="G72" s="5"/>
      <c r="H72" s="5"/>
      <c r="J72" s="16"/>
      <c r="K72" s="16"/>
      <c r="L72" s="30"/>
      <c r="M72" s="14"/>
    </row>
    <row r="73" spans="1:13" x14ac:dyDescent="0.2">
      <c r="A73" s="2"/>
      <c r="D73" s="27"/>
      <c r="E73" s="27"/>
      <c r="F73" s="27"/>
      <c r="G73" s="5"/>
      <c r="H73" s="5"/>
      <c r="J73" s="16"/>
      <c r="K73" s="16"/>
      <c r="L73" s="30"/>
      <c r="M73" s="14"/>
    </row>
    <row r="74" spans="1:13" x14ac:dyDescent="0.2">
      <c r="A74" s="2"/>
      <c r="D74" s="5"/>
      <c r="E74" s="5"/>
      <c r="F74" s="5"/>
      <c r="G74" s="5"/>
      <c r="H74" s="5"/>
      <c r="J74" s="16"/>
      <c r="K74" s="16"/>
      <c r="L74" s="39"/>
      <c r="M74" s="14"/>
    </row>
    <row r="75" spans="1:13" x14ac:dyDescent="0.2">
      <c r="A75" s="2"/>
      <c r="D75" s="5"/>
      <c r="E75" s="5"/>
      <c r="F75" s="6"/>
      <c r="G75" s="5"/>
      <c r="H75" s="5"/>
      <c r="J75" s="16"/>
      <c r="K75" s="16"/>
      <c r="L75" s="27"/>
      <c r="M75" s="14"/>
    </row>
    <row r="76" spans="1:13" x14ac:dyDescent="0.2">
      <c r="A76" s="2"/>
      <c r="J76" s="16"/>
      <c r="K76" s="16"/>
      <c r="L76" s="27"/>
      <c r="M76" s="14"/>
    </row>
    <row r="77" spans="1:13" x14ac:dyDescent="0.2">
      <c r="A77" s="2"/>
      <c r="D77" s="19"/>
      <c r="E77" s="19"/>
      <c r="F77" s="19"/>
      <c r="G77" s="40"/>
      <c r="J77" s="16"/>
      <c r="K77" s="16"/>
      <c r="L77" s="27"/>
      <c r="M77" s="14"/>
    </row>
    <row r="78" spans="1:13" x14ac:dyDescent="0.2">
      <c r="A78" s="2"/>
      <c r="D78" s="33"/>
      <c r="E78" s="33"/>
      <c r="F78" s="33"/>
      <c r="G78" s="33"/>
      <c r="H78" s="41"/>
      <c r="J78" s="16"/>
      <c r="K78" s="16"/>
      <c r="L78" s="30"/>
      <c r="M78" s="14"/>
    </row>
    <row r="79" spans="1:13" x14ac:dyDescent="0.2">
      <c r="A79" s="2"/>
      <c r="H79" s="41"/>
      <c r="J79" s="16"/>
      <c r="K79" s="16"/>
      <c r="L79" s="16"/>
      <c r="M79" s="14"/>
    </row>
    <row r="80" spans="1:13" x14ac:dyDescent="0.2">
      <c r="A80" s="2"/>
      <c r="J80" s="16"/>
      <c r="K80" s="16"/>
      <c r="L80" s="16"/>
      <c r="M80" s="14"/>
    </row>
    <row r="81" spans="1:13" x14ac:dyDescent="0.2">
      <c r="A81" s="2"/>
      <c r="B81" s="13"/>
      <c r="J81" s="16"/>
      <c r="K81" s="16"/>
      <c r="L81" s="16"/>
      <c r="M81" s="14"/>
    </row>
    <row r="82" spans="1:13" x14ac:dyDescent="0.2">
      <c r="A82" s="2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</row>
    <row r="83" spans="1:13" x14ac:dyDescent="0.2">
      <c r="A83" s="2"/>
      <c r="B83" s="42"/>
      <c r="C83" s="14"/>
      <c r="D83" s="14"/>
      <c r="E83" s="14"/>
      <c r="F83" s="14"/>
      <c r="G83" s="14"/>
      <c r="H83" s="43"/>
      <c r="I83" s="36"/>
      <c r="J83" s="14"/>
      <c r="K83" s="14"/>
      <c r="L83" s="14"/>
      <c r="M83" s="14"/>
    </row>
    <row r="84" spans="1:13" x14ac:dyDescent="0.2">
      <c r="A84" s="2"/>
      <c r="B84" s="10"/>
      <c r="C84" s="14"/>
      <c r="D84" s="14"/>
      <c r="E84" s="14"/>
      <c r="F84" s="14"/>
      <c r="G84" s="14"/>
      <c r="H84" s="44"/>
      <c r="I84" s="36"/>
      <c r="J84" s="14"/>
      <c r="K84" s="14"/>
      <c r="L84" s="14"/>
      <c r="M84" s="14"/>
    </row>
    <row r="85" spans="1:13" x14ac:dyDescent="0.2">
      <c r="A85" s="2"/>
      <c r="B85" s="42"/>
      <c r="C85" s="14"/>
      <c r="D85" s="14"/>
      <c r="E85" s="14"/>
      <c r="F85" s="14"/>
      <c r="G85" s="14"/>
      <c r="H85" s="23"/>
      <c r="I85" s="36"/>
      <c r="J85" s="14"/>
      <c r="K85" s="14"/>
      <c r="L85" s="14"/>
      <c r="M85" s="14"/>
    </row>
    <row r="86" spans="1:13" x14ac:dyDescent="0.2">
      <c r="A86" s="2"/>
      <c r="B86" s="42"/>
      <c r="C86" s="14"/>
      <c r="D86" s="14"/>
      <c r="E86" s="14"/>
      <c r="F86" s="14"/>
      <c r="G86" s="14"/>
      <c r="H86" s="45"/>
      <c r="I86" s="46"/>
      <c r="J86" s="14"/>
      <c r="K86" s="14"/>
      <c r="L86" s="14"/>
      <c r="M86" s="14"/>
    </row>
    <row r="87" spans="1:13" x14ac:dyDescent="0.2">
      <c r="A87" s="2"/>
      <c r="B87" s="42"/>
      <c r="C87" s="14"/>
      <c r="D87" s="14"/>
      <c r="E87" s="14"/>
      <c r="F87" s="14"/>
      <c r="G87" s="14"/>
      <c r="H87" s="23"/>
      <c r="I87" s="36"/>
      <c r="J87" s="14"/>
      <c r="K87" s="14"/>
      <c r="L87" s="14"/>
      <c r="M87" s="14"/>
    </row>
    <row r="88" spans="1:13" x14ac:dyDescent="0.2">
      <c r="A88" s="2"/>
      <c r="B88" s="42"/>
      <c r="C88" s="10"/>
      <c r="D88" s="14"/>
      <c r="E88" s="14"/>
      <c r="F88" s="14"/>
      <c r="G88" s="14"/>
      <c r="H88" s="14"/>
      <c r="I88" s="14"/>
      <c r="J88" s="14"/>
      <c r="K88" s="14"/>
      <c r="L88" s="14"/>
      <c r="M88" s="14"/>
    </row>
    <row r="89" spans="1:13" x14ac:dyDescent="0.2">
      <c r="A89" s="2"/>
      <c r="B89" s="47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</row>
    <row r="90" spans="1:13" x14ac:dyDescent="0.2">
      <c r="A90" s="2"/>
      <c r="B90" s="42"/>
      <c r="C90" s="10"/>
      <c r="D90" s="14"/>
      <c r="E90" s="14"/>
      <c r="F90" s="14"/>
      <c r="G90" s="14"/>
      <c r="H90" s="14"/>
      <c r="I90" s="14"/>
      <c r="J90" s="14"/>
      <c r="K90" s="14"/>
      <c r="L90" s="14"/>
      <c r="M90" s="14"/>
    </row>
    <row r="91" spans="1:13" x14ac:dyDescent="0.2">
      <c r="A91" s="2"/>
      <c r="B91" s="42"/>
      <c r="C91" s="14"/>
      <c r="D91" s="14"/>
      <c r="E91" s="14"/>
      <c r="F91" s="3"/>
      <c r="G91" s="3"/>
      <c r="H91" s="14"/>
      <c r="I91" s="14"/>
    </row>
    <row r="92" spans="1:13" x14ac:dyDescent="0.2">
      <c r="A92" s="2"/>
      <c r="B92" s="36"/>
      <c r="C92" s="14"/>
      <c r="D92" s="14"/>
      <c r="E92" s="14"/>
      <c r="F92" s="48"/>
      <c r="G92" s="36"/>
      <c r="H92" s="14"/>
      <c r="I92" s="14"/>
    </row>
    <row r="93" spans="1:13" x14ac:dyDescent="0.2">
      <c r="A93" s="2"/>
      <c r="B93" s="36"/>
      <c r="C93" s="14"/>
      <c r="D93" s="14"/>
      <c r="E93" s="14"/>
      <c r="F93" s="23"/>
      <c r="G93" s="36"/>
      <c r="H93" s="14"/>
      <c r="I93" s="14"/>
    </row>
    <row r="94" spans="1:13" x14ac:dyDescent="0.2">
      <c r="A94" s="2"/>
      <c r="B94" s="36"/>
      <c r="C94" s="14"/>
      <c r="D94" s="14"/>
      <c r="E94" s="14"/>
      <c r="F94" s="31"/>
      <c r="G94" s="36"/>
      <c r="H94" s="14"/>
      <c r="I94" s="14"/>
    </row>
    <row r="95" spans="1:13" x14ac:dyDescent="0.2">
      <c r="A95" s="2"/>
      <c r="B95" s="14"/>
      <c r="C95" s="14"/>
      <c r="D95" s="14"/>
      <c r="E95" s="32"/>
      <c r="F95" s="48"/>
      <c r="G95" s="36"/>
      <c r="H95" s="14"/>
      <c r="I95" s="14"/>
    </row>
    <row r="96" spans="1:13" x14ac:dyDescent="0.2">
      <c r="A96" s="14"/>
      <c r="B96" s="13"/>
      <c r="C96" s="14"/>
      <c r="D96" s="14"/>
      <c r="E96" s="14"/>
      <c r="F96" s="14"/>
      <c r="G96" s="14"/>
      <c r="H96" s="14"/>
      <c r="I96" s="14"/>
    </row>
    <row r="97" spans="1:10" x14ac:dyDescent="0.2">
      <c r="A97" s="14"/>
      <c r="B97" s="10"/>
      <c r="C97" s="14"/>
      <c r="D97" s="14"/>
      <c r="E97" s="14"/>
      <c r="F97" s="14"/>
      <c r="G97" s="14"/>
      <c r="H97" s="14"/>
      <c r="I97" s="14"/>
    </row>
    <row r="98" spans="1:10" x14ac:dyDescent="0.2">
      <c r="A98" s="14"/>
      <c r="B98" s="6"/>
      <c r="C98" s="16"/>
      <c r="D98" s="16"/>
      <c r="E98" s="16"/>
      <c r="F98" s="16"/>
      <c r="G98" s="16"/>
      <c r="H98" s="16"/>
      <c r="I98" s="16"/>
      <c r="J98" s="5"/>
    </row>
    <row r="99" spans="1:10" x14ac:dyDescent="0.2">
      <c r="A99" s="14"/>
      <c r="B99" s="6"/>
      <c r="C99" s="16"/>
      <c r="D99" s="16"/>
      <c r="E99" s="16"/>
      <c r="F99" s="16"/>
      <c r="G99" s="16"/>
      <c r="H99" s="16"/>
      <c r="I99" s="16"/>
      <c r="J99" s="5"/>
    </row>
    <row r="100" spans="1:10" x14ac:dyDescent="0.2">
      <c r="B100" s="6"/>
      <c r="C100" s="5"/>
      <c r="D100" s="5"/>
      <c r="E100" s="5"/>
      <c r="F100" s="5"/>
      <c r="G100" s="5"/>
      <c r="H100" s="5"/>
      <c r="I100" s="5"/>
      <c r="J100" s="5"/>
    </row>
    <row r="101" spans="1:10" x14ac:dyDescent="0.2">
      <c r="B101" s="49"/>
      <c r="C101" s="5"/>
      <c r="D101" s="5"/>
      <c r="E101" s="5"/>
      <c r="F101" s="5"/>
      <c r="G101" s="5"/>
      <c r="H101" s="5"/>
      <c r="I101" s="5"/>
      <c r="J101" s="5"/>
    </row>
    <row r="102" spans="1:10" x14ac:dyDescent="0.2">
      <c r="B102" s="6"/>
      <c r="C102" s="5"/>
      <c r="D102" s="5"/>
      <c r="E102" s="5"/>
      <c r="F102" s="5"/>
      <c r="G102" s="5"/>
      <c r="H102" s="5"/>
      <c r="I102" s="5"/>
      <c r="J102" s="5"/>
    </row>
    <row r="103" spans="1:10" x14ac:dyDescent="0.2">
      <c r="B103" s="6"/>
      <c r="C103" s="5"/>
      <c r="D103" s="5"/>
      <c r="E103" s="5"/>
      <c r="F103" s="5"/>
      <c r="G103" s="5"/>
      <c r="H103" s="5"/>
      <c r="I103" s="5"/>
      <c r="J103" s="5"/>
    </row>
    <row r="104" spans="1:10" x14ac:dyDescent="0.2">
      <c r="B104" s="5"/>
      <c r="C104" s="5"/>
      <c r="D104" s="5"/>
      <c r="E104" s="5"/>
      <c r="F104" s="5"/>
      <c r="G104" s="5"/>
      <c r="H104" s="5"/>
      <c r="I104" s="5"/>
      <c r="J104" s="5"/>
    </row>
    <row r="105" spans="1:10" x14ac:dyDescent="0.2"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2">
      <c r="B106" s="6"/>
      <c r="C106" s="5"/>
      <c r="D106" s="5"/>
      <c r="E106" s="5"/>
      <c r="F106" s="5"/>
      <c r="G106" s="5"/>
      <c r="H106" s="5"/>
      <c r="I106" s="5"/>
      <c r="J106" s="5"/>
    </row>
    <row r="107" spans="1:10" x14ac:dyDescent="0.2">
      <c r="B107" s="6"/>
      <c r="C107" s="5"/>
      <c r="D107" s="5"/>
      <c r="E107" s="5"/>
      <c r="F107" s="5"/>
      <c r="G107" s="5"/>
      <c r="H107" s="5"/>
      <c r="I107" s="5"/>
      <c r="J107" s="5"/>
    </row>
  </sheetData>
  <pageMargins left="0.7" right="0.7" top="0.75" bottom="0.75" header="0.3" footer="0.3"/>
  <pageSetup scale="63" orientation="landscape" cellComments="asDisplayed" r:id="rId1"/>
  <headerFooter>
    <oddHeader>&amp;CSchedule 17
Depreciation Expense
&amp;RTO9 Draft Annual Update
Attachment 1</oddHeader>
    <oddFooter>&amp;R17-Depreciation</oddFooter>
  </headerFooter>
  <rowBreaks count="1" manualBreakCount="1">
    <brk id="6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72"/>
  <sheetViews>
    <sheetView showGridLines="0" tabSelected="1" zoomScale="85" zoomScaleNormal="85" workbookViewId="0">
      <selection activeCell="B2" sqref="B2"/>
    </sheetView>
  </sheetViews>
  <sheetFormatPr defaultRowHeight="15" x14ac:dyDescent="0.25"/>
  <cols>
    <col min="1" max="2" width="9.140625" style="232"/>
    <col min="3" max="3" width="11.85546875" style="232" bestFit="1" customWidth="1"/>
    <col min="4" max="6" width="16" style="232" customWidth="1"/>
    <col min="7" max="7" width="16.85546875" style="232" bestFit="1" customWidth="1"/>
    <col min="8" max="8" width="17.140625" style="232" bestFit="1" customWidth="1"/>
    <col min="9" max="13" width="16" style="232" customWidth="1"/>
    <col min="14" max="14" width="17.7109375" style="232" hidden="1" customWidth="1"/>
    <col min="15" max="15" width="17.42578125" style="232" hidden="1" customWidth="1"/>
    <col min="16" max="16" width="15.28515625" style="232" bestFit="1" customWidth="1"/>
    <col min="17" max="17" width="14.28515625" style="232" bestFit="1" customWidth="1"/>
    <col min="18" max="18" width="15.42578125" style="232" bestFit="1" customWidth="1"/>
    <col min="19" max="19" width="14.28515625" style="232" bestFit="1" customWidth="1"/>
    <col min="20" max="20" width="19.140625" style="232" bestFit="1" customWidth="1"/>
    <col min="21" max="21" width="15.85546875" style="232" bestFit="1" customWidth="1"/>
    <col min="22" max="22" width="10.5703125" style="232" bestFit="1" customWidth="1"/>
    <col min="23" max="23" width="11.7109375" style="232" bestFit="1" customWidth="1"/>
    <col min="24" max="24" width="13.28515625" style="232" bestFit="1" customWidth="1"/>
    <col min="25" max="25" width="9.140625" style="232"/>
    <col min="26" max="26" width="11" style="232" bestFit="1" customWidth="1"/>
    <col min="27" max="30" width="11.7109375" style="232" bestFit="1" customWidth="1"/>
    <col min="31" max="31" width="9" style="232" bestFit="1" customWidth="1"/>
    <col min="32" max="32" width="10.5703125" style="232" bestFit="1" customWidth="1"/>
    <col min="33" max="33" width="11.7109375" style="232" bestFit="1" customWidth="1"/>
    <col min="34" max="34" width="9.140625" style="232"/>
    <col min="35" max="35" width="12.42578125" style="232" bestFit="1" customWidth="1"/>
    <col min="36" max="40" width="11.7109375" style="232" bestFit="1" customWidth="1"/>
    <col min="41" max="41" width="10.5703125" style="232" bestFit="1" customWidth="1"/>
    <col min="42" max="42" width="11.7109375" style="232" bestFit="1" customWidth="1"/>
    <col min="43" max="43" width="9.140625" style="232"/>
    <col min="44" max="44" width="10.5703125" style="232" bestFit="1" customWidth="1"/>
    <col min="45" max="45" width="11.7109375" style="232" bestFit="1" customWidth="1"/>
    <col min="46" max="46" width="14.7109375" style="232" bestFit="1" customWidth="1"/>
    <col min="47" max="50" width="13.7109375" style="232" bestFit="1" customWidth="1"/>
    <col min="51" max="51" width="13.28515625" style="232" bestFit="1" customWidth="1"/>
    <col min="52" max="53" width="12.5703125" style="232" bestFit="1" customWidth="1"/>
    <col min="54" max="16384" width="9.140625" style="232"/>
  </cols>
  <sheetData>
    <row r="2" spans="2:19" x14ac:dyDescent="0.25">
      <c r="B2" s="235" t="s">
        <v>234</v>
      </c>
      <c r="C2" s="235"/>
      <c r="D2" s="235"/>
      <c r="E2" s="235"/>
    </row>
    <row r="3" spans="2:19" x14ac:dyDescent="0.25">
      <c r="B3" s="254" t="s">
        <v>233</v>
      </c>
      <c r="C3" s="254"/>
      <c r="D3" s="254"/>
      <c r="E3" s="254"/>
      <c r="F3" s="255"/>
      <c r="G3" s="255"/>
      <c r="H3" s="255"/>
      <c r="I3" s="255"/>
      <c r="J3" s="255"/>
      <c r="K3" s="255"/>
      <c r="L3" s="255"/>
      <c r="M3" s="255"/>
    </row>
    <row r="5" spans="2:19" x14ac:dyDescent="0.25">
      <c r="B5" s="235" t="s">
        <v>171</v>
      </c>
    </row>
    <row r="6" spans="2:19" x14ac:dyDescent="0.25">
      <c r="D6" s="233">
        <v>350.1</v>
      </c>
      <c r="E6" s="233">
        <v>350.2</v>
      </c>
      <c r="F6" s="233">
        <v>352</v>
      </c>
      <c r="G6" s="233">
        <v>353</v>
      </c>
      <c r="H6" s="233">
        <v>354</v>
      </c>
      <c r="I6" s="233">
        <v>355</v>
      </c>
      <c r="J6" s="233">
        <v>356</v>
      </c>
      <c r="K6" s="233">
        <v>357</v>
      </c>
      <c r="L6" s="233">
        <v>358</v>
      </c>
      <c r="M6" s="233">
        <v>359</v>
      </c>
      <c r="N6" s="233"/>
      <c r="O6" s="233" t="s">
        <v>170</v>
      </c>
    </row>
    <row r="7" spans="2:19" x14ac:dyDescent="0.25">
      <c r="C7" s="234">
        <v>42339</v>
      </c>
      <c r="D7" s="241">
        <v>121657931.75999999</v>
      </c>
      <c r="E7" s="241">
        <v>206772795.96000001</v>
      </c>
      <c r="F7" s="241">
        <v>686827403.82000017</v>
      </c>
      <c r="G7" s="241">
        <v>5247711807.04</v>
      </c>
      <c r="H7" s="241">
        <v>2259972825.6399999</v>
      </c>
      <c r="I7" s="241">
        <v>1008567359.33</v>
      </c>
      <c r="J7" s="241">
        <v>1482107623.72</v>
      </c>
      <c r="K7" s="241">
        <v>61087062.369999997</v>
      </c>
      <c r="L7" s="241">
        <v>268612322.58999997</v>
      </c>
      <c r="M7" s="241">
        <v>194018040.61000001</v>
      </c>
      <c r="N7" s="75">
        <f>SUM(D7:M7)</f>
        <v>11537335172.84</v>
      </c>
      <c r="O7" s="75">
        <f>N7-'2015 ISO Study with Inc Plant'!B26</f>
        <v>1.8400001525878906</v>
      </c>
      <c r="P7" s="75"/>
      <c r="Q7" s="75"/>
      <c r="R7" s="75"/>
      <c r="S7" s="75"/>
    </row>
    <row r="8" spans="2:19" x14ac:dyDescent="0.25">
      <c r="C8" s="234">
        <v>42370</v>
      </c>
      <c r="D8" s="241">
        <v>120041816.67</v>
      </c>
      <c r="E8" s="241">
        <v>206793884.87</v>
      </c>
      <c r="F8" s="241">
        <v>703336512.34000015</v>
      </c>
      <c r="G8" s="241">
        <v>5261334181.5800009</v>
      </c>
      <c r="H8" s="241">
        <v>2267078142.29</v>
      </c>
      <c r="I8" s="241">
        <v>1019274095.3199999</v>
      </c>
      <c r="J8" s="241">
        <v>1490923946.2900002</v>
      </c>
      <c r="K8" s="241">
        <v>62025505.340000004</v>
      </c>
      <c r="L8" s="241">
        <v>270314277.77999997</v>
      </c>
      <c r="M8" s="241">
        <v>194248888.61000001</v>
      </c>
      <c r="N8" s="75"/>
      <c r="O8" s="75"/>
      <c r="P8" s="75"/>
      <c r="Q8" s="75"/>
      <c r="R8" s="75"/>
      <c r="S8" s="75"/>
    </row>
    <row r="9" spans="2:19" x14ac:dyDescent="0.25">
      <c r="C9" s="234">
        <v>42401</v>
      </c>
      <c r="D9" s="241">
        <v>120040730.8</v>
      </c>
      <c r="E9" s="241">
        <v>206789749.06999999</v>
      </c>
      <c r="F9" s="241">
        <v>697204660.2900002</v>
      </c>
      <c r="G9" s="241">
        <v>5284584037.1800003</v>
      </c>
      <c r="H9" s="241">
        <v>2269281263.71</v>
      </c>
      <c r="I9" s="241">
        <v>1030145033.83</v>
      </c>
      <c r="J9" s="241">
        <v>1492010547.1100001</v>
      </c>
      <c r="K9" s="241">
        <v>62000535.07</v>
      </c>
      <c r="L9" s="241">
        <v>270417583.10000002</v>
      </c>
      <c r="M9" s="241">
        <v>194553636.47</v>
      </c>
      <c r="N9" s="75"/>
      <c r="O9" s="75"/>
      <c r="P9" s="75"/>
      <c r="Q9" s="75"/>
      <c r="R9" s="75"/>
      <c r="S9" s="75"/>
    </row>
    <row r="10" spans="2:19" x14ac:dyDescent="0.25">
      <c r="C10" s="234">
        <v>42430</v>
      </c>
      <c r="D10" s="241">
        <v>129974728.36999999</v>
      </c>
      <c r="E10" s="241">
        <v>206872546.55000001</v>
      </c>
      <c r="F10" s="241">
        <v>711236846.82000005</v>
      </c>
      <c r="G10" s="241">
        <v>5314778263.039999</v>
      </c>
      <c r="H10" s="241">
        <v>2270538592.0600004</v>
      </c>
      <c r="I10" s="241">
        <v>1055295896.53</v>
      </c>
      <c r="J10" s="241">
        <v>1501940680.5899999</v>
      </c>
      <c r="K10" s="241">
        <v>62027745.140000001</v>
      </c>
      <c r="L10" s="241">
        <v>271839478.00999999</v>
      </c>
      <c r="M10" s="241">
        <v>203547851.90000001</v>
      </c>
      <c r="N10" s="75"/>
      <c r="O10" s="75"/>
      <c r="P10" s="75"/>
      <c r="Q10" s="75"/>
      <c r="R10" s="75"/>
      <c r="S10" s="75"/>
    </row>
    <row r="11" spans="2:19" x14ac:dyDescent="0.25">
      <c r="C11" s="234">
        <v>42461</v>
      </c>
      <c r="D11" s="241">
        <v>129984882.63</v>
      </c>
      <c r="E11" s="241">
        <v>206918508.47000003</v>
      </c>
      <c r="F11" s="241">
        <v>747798349.69000006</v>
      </c>
      <c r="G11" s="241">
        <v>5334716093.5899992</v>
      </c>
      <c r="H11" s="241">
        <v>2271061822.5799999</v>
      </c>
      <c r="I11" s="241">
        <v>1068519519.35</v>
      </c>
      <c r="J11" s="241">
        <v>1502283884.8499999</v>
      </c>
      <c r="K11" s="241">
        <v>64354797.869999997</v>
      </c>
      <c r="L11" s="241">
        <v>281803117.47000003</v>
      </c>
      <c r="M11" s="241">
        <v>204247360.43000001</v>
      </c>
      <c r="N11" s="75"/>
      <c r="O11" s="75"/>
      <c r="P11" s="75"/>
      <c r="Q11" s="75"/>
      <c r="R11" s="75"/>
      <c r="S11" s="75"/>
    </row>
    <row r="12" spans="2:19" x14ac:dyDescent="0.25">
      <c r="C12" s="234">
        <v>42491</v>
      </c>
      <c r="D12" s="241">
        <v>129993235.25999999</v>
      </c>
      <c r="E12" s="241">
        <v>206927466.27000001</v>
      </c>
      <c r="F12" s="241">
        <v>748915252.89999986</v>
      </c>
      <c r="G12" s="241">
        <v>5336971167.4200001</v>
      </c>
      <c r="H12" s="241">
        <v>2274749703.0899997</v>
      </c>
      <c r="I12" s="241">
        <v>1077180001.55</v>
      </c>
      <c r="J12" s="241">
        <v>1502976156.2799997</v>
      </c>
      <c r="K12" s="241">
        <v>64594821.649999999</v>
      </c>
      <c r="L12" s="241">
        <v>283742241.31999999</v>
      </c>
      <c r="M12" s="241">
        <v>205412539.66</v>
      </c>
      <c r="N12" s="75"/>
      <c r="O12" s="75"/>
      <c r="P12" s="75"/>
      <c r="Q12" s="75"/>
      <c r="R12" s="75"/>
      <c r="S12" s="75"/>
    </row>
    <row r="13" spans="2:19" x14ac:dyDescent="0.25">
      <c r="C13" s="234">
        <v>42522</v>
      </c>
      <c r="D13" s="241">
        <v>129471531.20999999</v>
      </c>
      <c r="E13" s="241">
        <v>206521860.64999998</v>
      </c>
      <c r="F13" s="241">
        <v>758346667.17000008</v>
      </c>
      <c r="G13" s="241">
        <v>5386916234.0199995</v>
      </c>
      <c r="H13" s="241">
        <v>2255499745.8399997</v>
      </c>
      <c r="I13" s="241">
        <v>1095086004.6800001</v>
      </c>
      <c r="J13" s="241">
        <v>1505142343.9800003</v>
      </c>
      <c r="K13" s="241">
        <v>67845750.200000003</v>
      </c>
      <c r="L13" s="241">
        <v>307996466.71000004</v>
      </c>
      <c r="M13" s="241">
        <v>208722402.01999998</v>
      </c>
      <c r="N13" s="75"/>
      <c r="O13" s="75"/>
      <c r="P13" s="75"/>
      <c r="Q13" s="75"/>
      <c r="R13" s="75"/>
      <c r="S13" s="75"/>
    </row>
    <row r="14" spans="2:19" x14ac:dyDescent="0.25">
      <c r="C14" s="234">
        <v>42552</v>
      </c>
      <c r="D14" s="241">
        <v>129475315.44</v>
      </c>
      <c r="E14" s="241">
        <v>206529507.86000001</v>
      </c>
      <c r="F14" s="241">
        <v>770153636.69000018</v>
      </c>
      <c r="G14" s="241">
        <v>5472385653.0100002</v>
      </c>
      <c r="H14" s="241">
        <v>2255378798.7400002</v>
      </c>
      <c r="I14" s="241">
        <v>1103011205.6200001</v>
      </c>
      <c r="J14" s="241">
        <v>1504634373.78</v>
      </c>
      <c r="K14" s="241">
        <v>68453756.980000004</v>
      </c>
      <c r="L14" s="241">
        <v>308991820.90000004</v>
      </c>
      <c r="M14" s="241">
        <v>209245602.04000002</v>
      </c>
      <c r="N14" s="75"/>
      <c r="O14" s="75"/>
      <c r="P14" s="75"/>
      <c r="Q14" s="75"/>
      <c r="R14" s="75"/>
      <c r="S14" s="75"/>
    </row>
    <row r="15" spans="2:19" x14ac:dyDescent="0.25">
      <c r="C15" s="234">
        <v>42583</v>
      </c>
      <c r="D15" s="241">
        <v>129472250.22</v>
      </c>
      <c r="E15" s="241">
        <v>206549342.12</v>
      </c>
      <c r="F15" s="241">
        <v>769327742.98000002</v>
      </c>
      <c r="G15" s="241">
        <v>5472858382.5599995</v>
      </c>
      <c r="H15" s="241">
        <v>2275896336.4900002</v>
      </c>
      <c r="I15" s="241">
        <v>1113130924.3100002</v>
      </c>
      <c r="J15" s="241">
        <v>1499109784.7699997</v>
      </c>
      <c r="K15" s="241">
        <v>69115778.870000005</v>
      </c>
      <c r="L15" s="241">
        <v>307862522.88999999</v>
      </c>
      <c r="M15" s="241">
        <v>195235924.28000003</v>
      </c>
      <c r="N15" s="75"/>
      <c r="O15" s="75"/>
      <c r="P15" s="75"/>
      <c r="Q15" s="75"/>
      <c r="R15" s="75"/>
      <c r="S15" s="75"/>
    </row>
    <row r="16" spans="2:19" x14ac:dyDescent="0.25">
      <c r="C16" s="234">
        <v>42614</v>
      </c>
      <c r="D16" s="241">
        <v>129486154.72999999</v>
      </c>
      <c r="E16" s="241">
        <v>209278478.73000002</v>
      </c>
      <c r="F16" s="241">
        <v>771511220.88</v>
      </c>
      <c r="G16" s="241">
        <v>5478846799.5299997</v>
      </c>
      <c r="H16" s="241">
        <v>2277142361.3200002</v>
      </c>
      <c r="I16" s="241">
        <v>1123636140.9800003</v>
      </c>
      <c r="J16" s="241">
        <v>1508232675.4299998</v>
      </c>
      <c r="K16" s="241">
        <v>248255064.56</v>
      </c>
      <c r="L16" s="241">
        <v>370623766.88999999</v>
      </c>
      <c r="M16" s="241">
        <v>195222055.22999999</v>
      </c>
      <c r="N16" s="75"/>
      <c r="O16" s="75"/>
      <c r="P16" s="75"/>
      <c r="Q16" s="75"/>
      <c r="R16" s="75"/>
      <c r="S16" s="75"/>
    </row>
    <row r="17" spans="2:19" x14ac:dyDescent="0.25">
      <c r="C17" s="234">
        <v>42644</v>
      </c>
      <c r="D17" s="241">
        <v>129485354.11</v>
      </c>
      <c r="E17" s="241">
        <v>209396750.44999999</v>
      </c>
      <c r="F17" s="241">
        <v>805401883.48000002</v>
      </c>
      <c r="G17" s="241">
        <v>5503702708.6100006</v>
      </c>
      <c r="H17" s="241">
        <v>2286042052.0300002</v>
      </c>
      <c r="I17" s="241">
        <v>1133087097.1400001</v>
      </c>
      <c r="J17" s="241">
        <v>1515768066.8400002</v>
      </c>
      <c r="K17" s="241">
        <v>244462304.34</v>
      </c>
      <c r="L17" s="241">
        <v>372715446.16000003</v>
      </c>
      <c r="M17" s="241">
        <v>195800867.90000001</v>
      </c>
      <c r="N17" s="75"/>
      <c r="O17" s="75"/>
      <c r="P17" s="75"/>
      <c r="Q17" s="75"/>
      <c r="R17" s="75"/>
      <c r="S17" s="75"/>
    </row>
    <row r="18" spans="2:19" x14ac:dyDescent="0.25">
      <c r="C18" s="234">
        <v>42675</v>
      </c>
      <c r="D18" s="241">
        <v>129492827.86</v>
      </c>
      <c r="E18" s="241">
        <v>209426561.17000002</v>
      </c>
      <c r="F18" s="241">
        <v>812167139.08000004</v>
      </c>
      <c r="G18" s="241">
        <v>5524691107.1199989</v>
      </c>
      <c r="H18" s="241">
        <v>2291044950.3899999</v>
      </c>
      <c r="I18" s="241">
        <v>1143622430.5599999</v>
      </c>
      <c r="J18" s="241">
        <v>1513544439.74</v>
      </c>
      <c r="K18" s="241">
        <v>252813477.84</v>
      </c>
      <c r="L18" s="241">
        <v>368838527.86000001</v>
      </c>
      <c r="M18" s="241">
        <v>196000837.64000002</v>
      </c>
      <c r="N18" s="75"/>
      <c r="O18" s="75"/>
      <c r="P18" s="75"/>
      <c r="Q18" s="75"/>
      <c r="R18" s="75"/>
      <c r="S18" s="75"/>
    </row>
    <row r="19" spans="2:19" x14ac:dyDescent="0.25">
      <c r="C19" s="234">
        <v>42705</v>
      </c>
      <c r="D19" s="241">
        <v>129517154.03999999</v>
      </c>
      <c r="E19" s="241">
        <v>209428812.59999999</v>
      </c>
      <c r="F19" s="241">
        <v>825778508.24000001</v>
      </c>
      <c r="G19" s="241">
        <v>5586246879.5699997</v>
      </c>
      <c r="H19" s="241">
        <v>2305498226.4400001</v>
      </c>
      <c r="I19" s="241">
        <v>1158164968.4300003</v>
      </c>
      <c r="J19" s="241">
        <v>1499811259.55</v>
      </c>
      <c r="K19" s="241">
        <v>253220290.41</v>
      </c>
      <c r="L19" s="241">
        <v>368734328.63</v>
      </c>
      <c r="M19" s="241">
        <v>200535234.45000002</v>
      </c>
      <c r="N19" s="75">
        <f>SUM(D19:M19)</f>
        <v>12536935662.359999</v>
      </c>
      <c r="O19" s="75">
        <f>N19-'2016 ISO Study with Inc Plant'!B26</f>
        <v>0.42000007629394531</v>
      </c>
      <c r="P19" s="75"/>
    </row>
    <row r="21" spans="2:19" x14ac:dyDescent="0.25">
      <c r="B21" s="235" t="s">
        <v>172</v>
      </c>
    </row>
    <row r="22" spans="2:19" x14ac:dyDescent="0.25">
      <c r="D22" s="233">
        <v>350.1</v>
      </c>
      <c r="E22" s="233">
        <v>350.2</v>
      </c>
      <c r="F22" s="233">
        <v>352</v>
      </c>
      <c r="G22" s="233">
        <v>353</v>
      </c>
      <c r="H22" s="233">
        <v>354</v>
      </c>
      <c r="I22" s="233">
        <v>355</v>
      </c>
      <c r="J22" s="233">
        <v>356</v>
      </c>
      <c r="K22" s="233">
        <v>357</v>
      </c>
      <c r="L22" s="233">
        <v>358</v>
      </c>
      <c r="M22" s="233">
        <v>359</v>
      </c>
    </row>
    <row r="23" spans="2:19" x14ac:dyDescent="0.25">
      <c r="C23" s="234">
        <f>C7</f>
        <v>42339</v>
      </c>
      <c r="D23" s="241">
        <v>9194806.9400000013</v>
      </c>
      <c r="E23" s="241">
        <v>94260653.49000001</v>
      </c>
      <c r="F23" s="241">
        <v>264762213.59285629</v>
      </c>
      <c r="G23" s="241">
        <v>1088156185.9547434</v>
      </c>
      <c r="H23" s="241">
        <v>1705207063.9718261</v>
      </c>
      <c r="I23" s="241">
        <v>149246224.34000003</v>
      </c>
      <c r="J23" s="241">
        <v>827237631.93719709</v>
      </c>
      <c r="K23" s="241">
        <v>0</v>
      </c>
      <c r="L23" s="241">
        <v>11017486.739999998</v>
      </c>
      <c r="M23" s="241">
        <v>147473890.09059188</v>
      </c>
      <c r="N23" s="236">
        <f>SUM(D23:M23)</f>
        <v>4296556157.0572147</v>
      </c>
      <c r="O23" s="236">
        <f>N23-'2015 ISO Study with Inc Plant'!F26</f>
        <v>-9.9964141845703125E-3</v>
      </c>
      <c r="P23" s="236"/>
    </row>
    <row r="24" spans="2:19" x14ac:dyDescent="0.25">
      <c r="C24" s="234">
        <f t="shared" ref="C24:C35" si="0">C8</f>
        <v>42370</v>
      </c>
      <c r="D24" s="241">
        <v>9194806.9400000013</v>
      </c>
      <c r="E24" s="241">
        <v>94260653.49000001</v>
      </c>
      <c r="F24" s="241">
        <v>264864093.25285631</v>
      </c>
      <c r="G24" s="241">
        <v>1088146837.1347432</v>
      </c>
      <c r="H24" s="241">
        <v>1706416313.6318264</v>
      </c>
      <c r="I24" s="241">
        <v>150319160.80000001</v>
      </c>
      <c r="J24" s="241">
        <v>826634498.65719712</v>
      </c>
      <c r="K24" s="241">
        <v>0</v>
      </c>
      <c r="L24" s="241">
        <v>11017486.739999998</v>
      </c>
      <c r="M24" s="241">
        <v>147748674.61059186</v>
      </c>
      <c r="N24" s="236"/>
      <c r="O24" s="236"/>
      <c r="P24" s="236"/>
    </row>
    <row r="25" spans="2:19" x14ac:dyDescent="0.25">
      <c r="C25" s="234">
        <f t="shared" si="0"/>
        <v>42401</v>
      </c>
      <c r="D25" s="241">
        <v>9194806.9400000013</v>
      </c>
      <c r="E25" s="241">
        <v>94260653.49000001</v>
      </c>
      <c r="F25" s="241">
        <v>256232588.64285633</v>
      </c>
      <c r="G25" s="241">
        <v>1104668932.9547431</v>
      </c>
      <c r="H25" s="241">
        <v>1708608304.5518262</v>
      </c>
      <c r="I25" s="241">
        <v>150648404.34</v>
      </c>
      <c r="J25" s="241">
        <v>827487096.73719716</v>
      </c>
      <c r="K25" s="241">
        <v>0</v>
      </c>
      <c r="L25" s="241">
        <v>11017486.739999998</v>
      </c>
      <c r="M25" s="241">
        <v>148047918.22059187</v>
      </c>
      <c r="N25" s="236"/>
      <c r="O25" s="236"/>
      <c r="P25" s="236"/>
    </row>
    <row r="26" spans="2:19" x14ac:dyDescent="0.25">
      <c r="C26" s="234">
        <f t="shared" si="0"/>
        <v>42430</v>
      </c>
      <c r="D26" s="241">
        <v>19126978.300000004</v>
      </c>
      <c r="E26" s="241">
        <v>94260653.49000001</v>
      </c>
      <c r="F26" s="241">
        <v>256234668.32285631</v>
      </c>
      <c r="G26" s="241">
        <v>1104729831.0347433</v>
      </c>
      <c r="H26" s="241">
        <v>1709163792.7318263</v>
      </c>
      <c r="I26" s="241">
        <v>150803662.02000001</v>
      </c>
      <c r="J26" s="241">
        <v>827806071.6971972</v>
      </c>
      <c r="K26" s="241">
        <v>0</v>
      </c>
      <c r="L26" s="241">
        <v>11017486.739999998</v>
      </c>
      <c r="M26" s="241">
        <v>148222875.88059187</v>
      </c>
      <c r="N26" s="236"/>
      <c r="O26" s="236"/>
      <c r="P26" s="236"/>
    </row>
    <row r="27" spans="2:19" x14ac:dyDescent="0.25">
      <c r="C27" s="234">
        <f t="shared" si="0"/>
        <v>42461</v>
      </c>
      <c r="D27" s="241">
        <v>19138134.570000004</v>
      </c>
      <c r="E27" s="241">
        <v>94301613.180000007</v>
      </c>
      <c r="F27" s="241">
        <v>254203939.15285632</v>
      </c>
      <c r="G27" s="241">
        <v>1107193320.4047434</v>
      </c>
      <c r="H27" s="241">
        <v>1710950860.8118262</v>
      </c>
      <c r="I27" s="241">
        <v>151031591.79000002</v>
      </c>
      <c r="J27" s="241">
        <v>828384681.91719711</v>
      </c>
      <c r="K27" s="241">
        <v>0</v>
      </c>
      <c r="L27" s="241">
        <v>12711354.659999998</v>
      </c>
      <c r="M27" s="241">
        <v>148502541.19059187</v>
      </c>
      <c r="N27" s="236"/>
      <c r="O27" s="236"/>
      <c r="P27" s="236"/>
    </row>
    <row r="28" spans="2:19" x14ac:dyDescent="0.25">
      <c r="C28" s="234">
        <f t="shared" si="0"/>
        <v>42491</v>
      </c>
      <c r="D28" s="241">
        <v>19145486.310000002</v>
      </c>
      <c r="E28" s="241">
        <v>94302070.180000007</v>
      </c>
      <c r="F28" s="241">
        <v>254149357.29285634</v>
      </c>
      <c r="G28" s="241">
        <v>1107031366.2647433</v>
      </c>
      <c r="H28" s="241">
        <v>1711875468.9618261</v>
      </c>
      <c r="I28" s="241">
        <v>151142645.62</v>
      </c>
      <c r="J28" s="241">
        <v>828600329.36719716</v>
      </c>
      <c r="K28" s="241">
        <v>0</v>
      </c>
      <c r="L28" s="241">
        <v>13055404.519999998</v>
      </c>
      <c r="M28" s="241">
        <v>148657277.46059185</v>
      </c>
      <c r="N28" s="236"/>
      <c r="O28" s="236"/>
      <c r="P28" s="236"/>
    </row>
    <row r="29" spans="2:19" x14ac:dyDescent="0.25">
      <c r="C29" s="234">
        <f t="shared" si="0"/>
        <v>42522</v>
      </c>
      <c r="D29" s="241">
        <v>18622453.039999999</v>
      </c>
      <c r="E29" s="241">
        <v>94832890.770000011</v>
      </c>
      <c r="F29" s="241">
        <v>254220415.57285631</v>
      </c>
      <c r="G29" s="241">
        <v>1106925903.2347434</v>
      </c>
      <c r="H29" s="241">
        <v>1714309220.041826</v>
      </c>
      <c r="I29" s="241">
        <v>150694466.38000003</v>
      </c>
      <c r="J29" s="241">
        <v>829118041.80719709</v>
      </c>
      <c r="K29" s="241">
        <v>0</v>
      </c>
      <c r="L29" s="241">
        <v>13056703.109999998</v>
      </c>
      <c r="M29" s="241">
        <v>149026056.27059186</v>
      </c>
      <c r="N29" s="236"/>
      <c r="O29" s="236"/>
      <c r="P29" s="236"/>
    </row>
    <row r="30" spans="2:19" x14ac:dyDescent="0.25">
      <c r="C30" s="234">
        <f t="shared" si="0"/>
        <v>42552</v>
      </c>
      <c r="D30" s="241">
        <v>18631953.119999997</v>
      </c>
      <c r="E30" s="241">
        <v>94836423.190000013</v>
      </c>
      <c r="F30" s="241">
        <v>254225246.81285632</v>
      </c>
      <c r="G30" s="241">
        <v>1106967423.2047434</v>
      </c>
      <c r="H30" s="241">
        <v>1714807545.2418261</v>
      </c>
      <c r="I30" s="241">
        <v>150790284.06999999</v>
      </c>
      <c r="J30" s="241">
        <v>829408573.41719711</v>
      </c>
      <c r="K30" s="241">
        <v>0</v>
      </c>
      <c r="L30" s="241">
        <v>13057296.609999998</v>
      </c>
      <c r="M30" s="241">
        <v>149196042.21059188</v>
      </c>
      <c r="N30" s="236"/>
      <c r="O30" s="236"/>
      <c r="P30" s="236"/>
    </row>
    <row r="31" spans="2:19" x14ac:dyDescent="0.25">
      <c r="C31" s="234">
        <f t="shared" si="0"/>
        <v>42583</v>
      </c>
      <c r="D31" s="241">
        <v>18630682.509999998</v>
      </c>
      <c r="E31" s="241">
        <v>94838079.660000011</v>
      </c>
      <c r="F31" s="241">
        <v>254478811.42285633</v>
      </c>
      <c r="G31" s="241">
        <v>1106795159.5447433</v>
      </c>
      <c r="H31" s="241">
        <v>1733998073.601826</v>
      </c>
      <c r="I31" s="241">
        <v>150612214.44</v>
      </c>
      <c r="J31" s="241">
        <v>823462506.18719709</v>
      </c>
      <c r="K31" s="241">
        <v>0</v>
      </c>
      <c r="L31" s="241">
        <v>13056450.639999997</v>
      </c>
      <c r="M31" s="241">
        <v>135207131.01059186</v>
      </c>
      <c r="N31" s="236"/>
      <c r="O31" s="236"/>
      <c r="P31" s="236"/>
    </row>
    <row r="32" spans="2:19" x14ac:dyDescent="0.25">
      <c r="C32" s="234">
        <f t="shared" si="0"/>
        <v>42614</v>
      </c>
      <c r="D32" s="241">
        <v>18645991.239999998</v>
      </c>
      <c r="E32" s="241">
        <v>94838061.560000017</v>
      </c>
      <c r="F32" s="241">
        <v>255761080.15285629</v>
      </c>
      <c r="G32" s="241">
        <v>1106857175.0547433</v>
      </c>
      <c r="H32" s="241">
        <v>1734721599.081826</v>
      </c>
      <c r="I32" s="241">
        <v>150551479.06000003</v>
      </c>
      <c r="J32" s="241">
        <v>824970931.98719704</v>
      </c>
      <c r="K32" s="241">
        <v>178296084.22</v>
      </c>
      <c r="L32" s="241">
        <v>75392846.379999995</v>
      </c>
      <c r="M32" s="241">
        <v>135184205.73059186</v>
      </c>
      <c r="N32" s="236"/>
      <c r="O32" s="236"/>
      <c r="P32" s="236"/>
    </row>
    <row r="33" spans="2:16" x14ac:dyDescent="0.25">
      <c r="C33" s="234">
        <f t="shared" si="0"/>
        <v>42644</v>
      </c>
      <c r="D33" s="241">
        <v>18645190.619999997</v>
      </c>
      <c r="E33" s="241">
        <v>94854394.060000017</v>
      </c>
      <c r="F33" s="241">
        <v>255781321.11285633</v>
      </c>
      <c r="G33" s="241">
        <v>1105663404.3847435</v>
      </c>
      <c r="H33" s="241">
        <v>1742320494.001826</v>
      </c>
      <c r="I33" s="241">
        <v>150732786.49000004</v>
      </c>
      <c r="J33" s="241">
        <v>830951449.77719712</v>
      </c>
      <c r="K33" s="241">
        <v>180670727.96000001</v>
      </c>
      <c r="L33" s="241">
        <v>78262796.939999998</v>
      </c>
      <c r="M33" s="241">
        <v>135859889.92059186</v>
      </c>
      <c r="N33" s="236"/>
      <c r="O33" s="236"/>
      <c r="P33" s="236"/>
    </row>
    <row r="34" spans="2:16" x14ac:dyDescent="0.25">
      <c r="C34" s="234">
        <f t="shared" si="0"/>
        <v>42675</v>
      </c>
      <c r="D34" s="241">
        <v>18652664.369999997</v>
      </c>
      <c r="E34" s="241">
        <v>94872988.770000011</v>
      </c>
      <c r="F34" s="241">
        <v>255809266.37285632</v>
      </c>
      <c r="G34" s="241">
        <v>1105764128.4147434</v>
      </c>
      <c r="H34" s="241">
        <v>1742837305.781826</v>
      </c>
      <c r="I34" s="241">
        <v>150762909.25000003</v>
      </c>
      <c r="J34" s="241">
        <v>831712903.09719706</v>
      </c>
      <c r="K34" s="241">
        <v>184137404.83000001</v>
      </c>
      <c r="L34" s="241">
        <v>79474811.670000002</v>
      </c>
      <c r="M34" s="241">
        <v>136069850.38059187</v>
      </c>
      <c r="N34" s="236"/>
      <c r="O34" s="236"/>
      <c r="P34" s="236"/>
    </row>
    <row r="35" spans="2:16" x14ac:dyDescent="0.25">
      <c r="C35" s="234">
        <f t="shared" si="0"/>
        <v>42705</v>
      </c>
      <c r="D35" s="241">
        <v>18676990.549999997</v>
      </c>
      <c r="E35" s="241">
        <v>94873059.930000007</v>
      </c>
      <c r="F35" s="241">
        <v>264612612.76285636</v>
      </c>
      <c r="G35" s="241">
        <v>1133695494.8447433</v>
      </c>
      <c r="H35" s="241">
        <v>1757159286.4618263</v>
      </c>
      <c r="I35" s="241">
        <v>151903902.76000002</v>
      </c>
      <c r="J35" s="241">
        <v>815549135.04719698</v>
      </c>
      <c r="K35" s="241">
        <v>185286762.54000002</v>
      </c>
      <c r="L35" s="241">
        <v>79876648.5</v>
      </c>
      <c r="M35" s="241">
        <v>138148965.33059186</v>
      </c>
      <c r="N35" s="236">
        <f>SUM(D35:M35)</f>
        <v>4639782858.7272158</v>
      </c>
      <c r="O35" s="236">
        <f>N35-'2016 ISO Study with Inc Plant'!F26</f>
        <v>-9.9954605102539063E-3</v>
      </c>
      <c r="P35" s="236"/>
    </row>
    <row r="37" spans="2:16" x14ac:dyDescent="0.25">
      <c r="B37" s="235" t="s">
        <v>173</v>
      </c>
    </row>
    <row r="38" spans="2:16" x14ac:dyDescent="0.25">
      <c r="D38" s="233">
        <v>350.1</v>
      </c>
      <c r="E38" s="233">
        <v>350.2</v>
      </c>
      <c r="F38" s="233">
        <v>352</v>
      </c>
      <c r="G38" s="233">
        <v>353</v>
      </c>
      <c r="H38" s="233">
        <v>354</v>
      </c>
      <c r="I38" s="233">
        <v>355</v>
      </c>
      <c r="J38" s="233">
        <v>356</v>
      </c>
      <c r="K38" s="233">
        <v>357</v>
      </c>
      <c r="L38" s="233">
        <v>358</v>
      </c>
      <c r="M38" s="233">
        <v>359</v>
      </c>
    </row>
    <row r="39" spans="2:16" x14ac:dyDescent="0.25">
      <c r="C39" s="234">
        <f>C23</f>
        <v>42339</v>
      </c>
      <c r="D39" s="241">
        <v>77976654.562520087</v>
      </c>
      <c r="E39" s="241">
        <v>163072480.04595727</v>
      </c>
      <c r="F39" s="241">
        <v>470458375.70606768</v>
      </c>
      <c r="G39" s="241">
        <v>3030177246.8036795</v>
      </c>
      <c r="H39" s="241">
        <v>2164622762.8245416</v>
      </c>
      <c r="I39" s="241">
        <v>310678566.28323245</v>
      </c>
      <c r="J39" s="241">
        <v>1239646180.7050807</v>
      </c>
      <c r="K39" s="241">
        <v>221416.38459709552</v>
      </c>
      <c r="L39" s="241">
        <v>13011928.174370928</v>
      </c>
      <c r="M39" s="241">
        <v>187087540.77399367</v>
      </c>
      <c r="N39" s="236">
        <f>SUM(D39:M39)</f>
        <v>7656953152.2640409</v>
      </c>
      <c r="O39" s="236">
        <f>N39-'2015 ISO Study with Inc Plant'!D26</f>
        <v>-5.3300857543945313E-3</v>
      </c>
      <c r="P39" s="236"/>
    </row>
    <row r="40" spans="2:16" x14ac:dyDescent="0.25">
      <c r="C40" s="234">
        <f t="shared" ref="C40:C51" si="1">C24</f>
        <v>42370</v>
      </c>
      <c r="D40" s="241">
        <v>77367730.056355864</v>
      </c>
      <c r="E40" s="241">
        <v>163470633.52997148</v>
      </c>
      <c r="F40" s="241">
        <v>473463692.44533098</v>
      </c>
      <c r="G40" s="241">
        <v>3070896368.489563</v>
      </c>
      <c r="H40" s="241">
        <v>2193964162.5371819</v>
      </c>
      <c r="I40" s="241">
        <v>299155428.41387808</v>
      </c>
      <c r="J40" s="241">
        <v>1234719575.9110084</v>
      </c>
      <c r="K40" s="241">
        <v>202176.37140817297</v>
      </c>
      <c r="L40" s="241">
        <v>12879619.484917469</v>
      </c>
      <c r="M40" s="241">
        <v>180453659.37075746</v>
      </c>
    </row>
    <row r="41" spans="2:16" x14ac:dyDescent="0.25">
      <c r="C41" s="234">
        <f t="shared" si="1"/>
        <v>42401</v>
      </c>
      <c r="D41" s="241">
        <v>77367062.226594791</v>
      </c>
      <c r="E41" s="241">
        <v>163468089.93789703</v>
      </c>
      <c r="F41" s="241">
        <v>466021376.70887971</v>
      </c>
      <c r="G41" s="241">
        <v>3090614932.9676538</v>
      </c>
      <c r="H41" s="241">
        <v>2196165832.4669785</v>
      </c>
      <c r="I41" s="241">
        <v>301290273.6845656</v>
      </c>
      <c r="J41" s="241">
        <v>1235715926.1258206</v>
      </c>
      <c r="K41" s="241">
        <v>202094.97910747328</v>
      </c>
      <c r="L41" s="241">
        <v>12880361.36922049</v>
      </c>
      <c r="M41" s="241">
        <v>180756774.28363723</v>
      </c>
    </row>
    <row r="42" spans="2:16" x14ac:dyDescent="0.25">
      <c r="C42" s="234">
        <f t="shared" si="1"/>
        <v>42430</v>
      </c>
      <c r="D42" s="241">
        <v>87300356.738894761</v>
      </c>
      <c r="E42" s="241">
        <v>163519011.89106491</v>
      </c>
      <c r="F42" s="241">
        <v>472698162.79716563</v>
      </c>
      <c r="G42" s="241">
        <v>3104992667.700933</v>
      </c>
      <c r="H42" s="241">
        <v>2197331636.2555475</v>
      </c>
      <c r="I42" s="241">
        <v>305726826.52745289</v>
      </c>
      <c r="J42" s="241">
        <v>1241939210.3912134</v>
      </c>
      <c r="K42" s="241">
        <v>202183.67218926613</v>
      </c>
      <c r="L42" s="241">
        <v>12890572.668254014</v>
      </c>
      <c r="M42" s="241">
        <v>187134578.47177351</v>
      </c>
    </row>
    <row r="43" spans="2:16" x14ac:dyDescent="0.25">
      <c r="C43" s="234">
        <f t="shared" si="1"/>
        <v>42461</v>
      </c>
      <c r="D43" s="241">
        <v>87310896.754555941</v>
      </c>
      <c r="E43" s="241">
        <v>163563048.04331708</v>
      </c>
      <c r="F43" s="241">
        <v>489027366.39613414</v>
      </c>
      <c r="G43" s="241">
        <v>3115758502.2391882</v>
      </c>
      <c r="H43" s="241">
        <v>2198019679.4826899</v>
      </c>
      <c r="I43" s="241">
        <v>308180683.52541214</v>
      </c>
      <c r="J43" s="241">
        <v>1242373206.4528599</v>
      </c>
      <c r="K43" s="241">
        <v>209768.85951580087</v>
      </c>
      <c r="L43" s="241">
        <v>14643829.72421615</v>
      </c>
      <c r="M43" s="241">
        <v>187709532.01661763</v>
      </c>
    </row>
    <row r="44" spans="2:16" x14ac:dyDescent="0.25">
      <c r="C44" s="234">
        <f t="shared" si="1"/>
        <v>42491</v>
      </c>
      <c r="D44" s="241">
        <v>87318864.060074434</v>
      </c>
      <c r="E44" s="241">
        <v>163568733.18962649</v>
      </c>
      <c r="F44" s="241">
        <v>489530108.79513931</v>
      </c>
      <c r="G44" s="241">
        <v>3116744917.6017389</v>
      </c>
      <c r="H44" s="241">
        <v>2201347211.1530619</v>
      </c>
      <c r="I44" s="241">
        <v>309756099.84220314</v>
      </c>
      <c r="J44" s="241">
        <v>1242881652.6736252</v>
      </c>
      <c r="K44" s="241">
        <v>210551.2334219233</v>
      </c>
      <c r="L44" s="241">
        <v>14999334.564030718</v>
      </c>
      <c r="M44" s="241">
        <v>188574942.90003416</v>
      </c>
    </row>
    <row r="45" spans="2:16" x14ac:dyDescent="0.25">
      <c r="C45" s="234">
        <f t="shared" si="1"/>
        <v>42522</v>
      </c>
      <c r="D45" s="241">
        <v>86796648.284502894</v>
      </c>
      <c r="E45" s="241">
        <v>163523634.66215122</v>
      </c>
      <c r="F45" s="241">
        <v>494054278.4290483</v>
      </c>
      <c r="G45" s="241">
        <v>3140419279.4339113</v>
      </c>
      <c r="H45" s="241">
        <v>2184924951.6894441</v>
      </c>
      <c r="I45" s="241">
        <v>312451660.15707922</v>
      </c>
      <c r="J45" s="241">
        <v>1244412053.4172337</v>
      </c>
      <c r="K45" s="241">
        <v>221147.85709057999</v>
      </c>
      <c r="L45" s="241">
        <v>15174804.878151283</v>
      </c>
      <c r="M45" s="241">
        <v>191012273.32320195</v>
      </c>
    </row>
    <row r="46" spans="2:16" x14ac:dyDescent="0.25">
      <c r="C46" s="234">
        <f t="shared" si="1"/>
        <v>42552</v>
      </c>
      <c r="D46" s="241">
        <v>86802633.012996852</v>
      </c>
      <c r="E46" s="241">
        <v>163529697.75269431</v>
      </c>
      <c r="F46" s="241">
        <v>499673878.597839</v>
      </c>
      <c r="G46" s="241">
        <v>3181048990.818799</v>
      </c>
      <c r="H46" s="241">
        <v>2184884761.7590775</v>
      </c>
      <c r="I46" s="241">
        <v>313888509.62485754</v>
      </c>
      <c r="J46" s="241">
        <v>1244212050.8572533</v>
      </c>
      <c r="K46" s="241">
        <v>223129.69672087629</v>
      </c>
      <c r="L46" s="241">
        <v>15182542.224578289</v>
      </c>
      <c r="M46" s="241">
        <v>191430685.24041629</v>
      </c>
    </row>
    <row r="47" spans="2:16" x14ac:dyDescent="0.25">
      <c r="C47" s="234">
        <f t="shared" si="1"/>
        <v>42583</v>
      </c>
      <c r="D47" s="241">
        <v>86800258.685270488</v>
      </c>
      <c r="E47" s="241">
        <v>163542533.89351368</v>
      </c>
      <c r="F47" s="241">
        <v>499413899.9082039</v>
      </c>
      <c r="G47" s="241">
        <v>3181183173.9773335</v>
      </c>
      <c r="H47" s="241">
        <v>2205229248.7809682</v>
      </c>
      <c r="I47" s="241">
        <v>315474264.92678356</v>
      </c>
      <c r="J47" s="241">
        <v>1238524905.3556991</v>
      </c>
      <c r="K47" s="241">
        <v>225287.60229180704</v>
      </c>
      <c r="L47" s="241">
        <v>15173592.307412861</v>
      </c>
      <c r="M47" s="241">
        <v>177427168.30057323</v>
      </c>
    </row>
    <row r="48" spans="2:16" x14ac:dyDescent="0.25">
      <c r="C48" s="234">
        <f t="shared" si="1"/>
        <v>42614</v>
      </c>
      <c r="D48" s="241">
        <v>86814703.794480592</v>
      </c>
      <c r="E48" s="241">
        <v>165220995.48070294</v>
      </c>
      <c r="F48" s="241">
        <v>501124911.39023823</v>
      </c>
      <c r="G48" s="241">
        <v>3184060919.7068443</v>
      </c>
      <c r="H48" s="241">
        <v>2206407136.2687345</v>
      </c>
      <c r="I48" s="241">
        <v>317223286.07665235</v>
      </c>
      <c r="J48" s="241">
        <v>1244711035.2675326</v>
      </c>
      <c r="K48" s="241">
        <v>178524120.2950795</v>
      </c>
      <c r="L48" s="241">
        <v>77513039.083460763</v>
      </c>
      <c r="M48" s="241">
        <v>177410612.53672507</v>
      </c>
    </row>
    <row r="49" spans="2:16" x14ac:dyDescent="0.25">
      <c r="C49" s="234">
        <f t="shared" si="1"/>
        <v>42644</v>
      </c>
      <c r="D49" s="241">
        <v>86813903.174480617</v>
      </c>
      <c r="E49" s="241">
        <v>165300022.4514381</v>
      </c>
      <c r="F49" s="241">
        <v>517258723.17253417</v>
      </c>
      <c r="G49" s="241">
        <v>3195243777.7508674</v>
      </c>
      <c r="H49" s="241">
        <v>2215137194.6759963</v>
      </c>
      <c r="I49" s="241">
        <v>318992316.7178992</v>
      </c>
      <c r="J49" s="241">
        <v>1251646740.173027</v>
      </c>
      <c r="K49" s="241">
        <v>180878660.9605974</v>
      </c>
      <c r="L49" s="241">
        <v>80377400.509681955</v>
      </c>
      <c r="M49" s="241">
        <v>178018164.10296267</v>
      </c>
    </row>
    <row r="50" spans="2:16" x14ac:dyDescent="0.25">
      <c r="C50" s="234">
        <f t="shared" si="1"/>
        <v>42675</v>
      </c>
      <c r="D50" s="241">
        <v>86821376.924480617</v>
      </c>
      <c r="E50" s="241">
        <v>165325515.21118492</v>
      </c>
      <c r="F50" s="241">
        <v>520491887.67867339</v>
      </c>
      <c r="G50" s="241">
        <v>3205268577.401732</v>
      </c>
      <c r="H50" s="241">
        <v>2219555077.9224033</v>
      </c>
      <c r="I50" s="241">
        <v>320821792.10600257</v>
      </c>
      <c r="J50" s="241">
        <v>1250574404.3546543</v>
      </c>
      <c r="K50" s="241">
        <v>184361259.18100634</v>
      </c>
      <c r="L50" s="241">
        <v>81552869.207647204</v>
      </c>
      <c r="M50" s="241">
        <v>178221097.79217517</v>
      </c>
    </row>
    <row r="51" spans="2:16" x14ac:dyDescent="0.25">
      <c r="C51" s="234">
        <f t="shared" si="1"/>
        <v>42705</v>
      </c>
      <c r="D51" s="241">
        <v>86845703.104480594</v>
      </c>
      <c r="E51" s="241">
        <v>165326927.2768119</v>
      </c>
      <c r="F51" s="241">
        <v>531582610.83188766</v>
      </c>
      <c r="G51" s="241">
        <v>3249175448.8296032</v>
      </c>
      <c r="H51" s="241">
        <v>2233991232.1950092</v>
      </c>
      <c r="I51" s="241">
        <v>324258227.83465576</v>
      </c>
      <c r="J51" s="241">
        <v>1235903790.5887618</v>
      </c>
      <c r="K51" s="241">
        <v>185508196.51440176</v>
      </c>
      <c r="L51" s="241">
        <v>81951071.953655437</v>
      </c>
      <c r="M51" s="241">
        <v>182027085.56504506</v>
      </c>
      <c r="N51" s="236">
        <f>SUM(D51:M51)</f>
        <v>8276570294.694313</v>
      </c>
      <c r="O51" s="236">
        <f>N51-'2016 ISO Study with Inc Plant'!D26</f>
        <v>-0.41210460662841797</v>
      </c>
      <c r="P51" s="236"/>
    </row>
    <row r="53" spans="2:16" x14ac:dyDescent="0.25">
      <c r="B53" s="235" t="s">
        <v>175</v>
      </c>
    </row>
    <row r="54" spans="2:16" x14ac:dyDescent="0.25">
      <c r="D54" s="233">
        <v>350.1</v>
      </c>
      <c r="E54" s="233">
        <v>350.2</v>
      </c>
      <c r="F54" s="233">
        <v>352</v>
      </c>
      <c r="G54" s="233">
        <v>353</v>
      </c>
      <c r="H54" s="233">
        <v>354</v>
      </c>
      <c r="I54" s="233">
        <v>355</v>
      </c>
      <c r="J54" s="233">
        <v>356</v>
      </c>
      <c r="K54" s="233">
        <v>357</v>
      </c>
      <c r="L54" s="233">
        <v>358</v>
      </c>
      <c r="M54" s="233">
        <v>359</v>
      </c>
    </row>
    <row r="55" spans="2:16" x14ac:dyDescent="0.25">
      <c r="C55" s="234">
        <f>C39</f>
        <v>42339</v>
      </c>
      <c r="D55" s="241">
        <v>148517.20309208363</v>
      </c>
      <c r="E55" s="241">
        <v>15300445.326968212</v>
      </c>
      <c r="F55" s="241">
        <v>62849620.458912924</v>
      </c>
      <c r="G55" s="241">
        <v>372512107.11317867</v>
      </c>
      <c r="H55" s="241">
        <v>406863963.81291598</v>
      </c>
      <c r="I55" s="241">
        <v>46334041.093138769</v>
      </c>
      <c r="J55" s="241">
        <v>386000140.09468102</v>
      </c>
      <c r="K55" s="241">
        <v>132074.21772594441</v>
      </c>
      <c r="L55" s="241">
        <v>1627344.7828261124</v>
      </c>
      <c r="M55" s="241">
        <v>13852616.302390257</v>
      </c>
      <c r="N55" s="236">
        <f>SUM(D55:M55)</f>
        <v>1305620870.4058301</v>
      </c>
      <c r="O55" s="236">
        <f>N55-'Accum Depr Calc'!M20</f>
        <v>0</v>
      </c>
    </row>
    <row r="56" spans="2:16" x14ac:dyDescent="0.25">
      <c r="C56" s="234">
        <f t="shared" ref="C56:C66" si="2">C40</f>
        <v>42370</v>
      </c>
      <c r="D56" s="241">
        <v>148852.55435187594</v>
      </c>
      <c r="E56" s="241">
        <v>15587963.55804269</v>
      </c>
      <c r="F56" s="241">
        <v>62373940.086235933</v>
      </c>
      <c r="G56" s="241">
        <v>380684169.16504174</v>
      </c>
      <c r="H56" s="241">
        <v>424049959.30747378</v>
      </c>
      <c r="I56" s="241">
        <v>44178907.38678617</v>
      </c>
      <c r="J56" s="241">
        <v>380087858.03660721</v>
      </c>
      <c r="K56" s="241">
        <v>125527.69373873442</v>
      </c>
      <c r="L56" s="241">
        <v>1613949.1448804592</v>
      </c>
      <c r="M56" s="241">
        <v>12481145.367860263</v>
      </c>
    </row>
    <row r="57" spans="2:16" x14ac:dyDescent="0.25">
      <c r="C57" s="234">
        <f t="shared" si="2"/>
        <v>42401</v>
      </c>
      <c r="D57" s="241">
        <v>148852.36984643023</v>
      </c>
      <c r="E57" s="241">
        <v>15816529.602993671</v>
      </c>
      <c r="F57" s="241">
        <v>63676820.281178065</v>
      </c>
      <c r="G57" s="241">
        <v>389427681.7390058</v>
      </c>
      <c r="H57" s="241">
        <v>425340423.79949868</v>
      </c>
      <c r="I57" s="241">
        <v>45153579.933671497</v>
      </c>
      <c r="J57" s="241">
        <v>381517592.0184617</v>
      </c>
      <c r="K57" s="241">
        <v>125799.37416109964</v>
      </c>
      <c r="L57" s="241">
        <v>1653730.3686187298</v>
      </c>
      <c r="M57" s="241">
        <v>12829274.947123189</v>
      </c>
    </row>
    <row r="58" spans="2:16" x14ac:dyDescent="0.25">
      <c r="C58" s="234">
        <f t="shared" si="2"/>
        <v>42430</v>
      </c>
      <c r="D58" s="241">
        <v>148852.36984643023</v>
      </c>
      <c r="E58" s="241">
        <v>16045157.162060246</v>
      </c>
      <c r="F58" s="241">
        <v>64424720.572676554</v>
      </c>
      <c r="G58" s="241">
        <v>391433111.55514681</v>
      </c>
      <c r="H58" s="241">
        <v>429035394.63794029</v>
      </c>
      <c r="I58" s="241">
        <v>45728030.61926429</v>
      </c>
      <c r="J58" s="241">
        <v>384310204.91458821</v>
      </c>
      <c r="K58" s="241">
        <v>126092.72037987233</v>
      </c>
      <c r="L58" s="241">
        <v>1693428.6424011192</v>
      </c>
      <c r="M58" s="241">
        <v>13003445.726853829</v>
      </c>
    </row>
    <row r="59" spans="2:16" x14ac:dyDescent="0.25">
      <c r="C59" s="234">
        <f t="shared" si="2"/>
        <v>42461</v>
      </c>
      <c r="D59" s="241">
        <v>148902.72753274368</v>
      </c>
      <c r="E59" s="241">
        <v>16273730.501126509</v>
      </c>
      <c r="F59" s="241">
        <v>65178254.706330888</v>
      </c>
      <c r="G59" s="241">
        <v>396824921.62569106</v>
      </c>
      <c r="H59" s="241">
        <v>433009742.05778229</v>
      </c>
      <c r="I59" s="241">
        <v>45897561.154070958</v>
      </c>
      <c r="J59" s="241">
        <v>387128207.44963604</v>
      </c>
      <c r="K59" s="241">
        <v>126391.89575950929</v>
      </c>
      <c r="L59" s="241">
        <v>1731519.6818133588</v>
      </c>
      <c r="M59" s="241">
        <v>13256366.707767583</v>
      </c>
    </row>
    <row r="60" spans="2:16" x14ac:dyDescent="0.25">
      <c r="C60" s="234">
        <f t="shared" si="2"/>
        <v>42491</v>
      </c>
      <c r="D60" s="241">
        <v>148864.29504840408</v>
      </c>
      <c r="E60" s="241">
        <v>16382136.776722651</v>
      </c>
      <c r="F60" s="241">
        <v>65332081.643601872</v>
      </c>
      <c r="G60" s="241">
        <v>399217542.81995058</v>
      </c>
      <c r="H60" s="241">
        <v>437115963.72816545</v>
      </c>
      <c r="I60" s="241">
        <v>45462944.617706463</v>
      </c>
      <c r="J60" s="241">
        <v>388631403.76457971</v>
      </c>
      <c r="K60" s="241">
        <v>126720.86138092482</v>
      </c>
      <c r="L60" s="241">
        <v>1773269.4468147482</v>
      </c>
      <c r="M60" s="241">
        <v>13459781.427451497</v>
      </c>
    </row>
    <row r="61" spans="2:16" x14ac:dyDescent="0.25">
      <c r="C61" s="234">
        <f t="shared" si="2"/>
        <v>42522</v>
      </c>
      <c r="D61" s="241">
        <v>148864.28274804103</v>
      </c>
      <c r="E61" s="241">
        <v>16643627.390194219</v>
      </c>
      <c r="F61" s="241">
        <v>66558257.439318217</v>
      </c>
      <c r="G61" s="241">
        <v>402712380.03858769</v>
      </c>
      <c r="H61" s="241">
        <v>442653517.05663955</v>
      </c>
      <c r="I61" s="241">
        <v>45719433.947836787</v>
      </c>
      <c r="J61" s="241">
        <v>392610572.28977841</v>
      </c>
      <c r="K61" s="241">
        <v>127025.62227773166</v>
      </c>
      <c r="L61" s="241">
        <v>1818177.9084924243</v>
      </c>
      <c r="M61" s="241">
        <v>13839770.836375443</v>
      </c>
    </row>
    <row r="62" spans="2:16" x14ac:dyDescent="0.25">
      <c r="C62" s="234">
        <f t="shared" si="2"/>
        <v>42552</v>
      </c>
      <c r="D62" s="241">
        <v>148865.27907744781</v>
      </c>
      <c r="E62" s="241">
        <v>16874968.374471895</v>
      </c>
      <c r="F62" s="241">
        <v>66932362.175314061</v>
      </c>
      <c r="G62" s="241">
        <v>413176673.67539626</v>
      </c>
      <c r="H62" s="241">
        <v>447235529.08020514</v>
      </c>
      <c r="I62" s="241">
        <v>46034982.814401828</v>
      </c>
      <c r="J62" s="241">
        <v>395372921.70114654</v>
      </c>
      <c r="K62" s="241">
        <v>127346.88719102008</v>
      </c>
      <c r="L62" s="241">
        <v>1864359.4848981176</v>
      </c>
      <c r="M62" s="241">
        <v>14213502.300622107</v>
      </c>
    </row>
    <row r="63" spans="2:16" x14ac:dyDescent="0.25">
      <c r="C63" s="234">
        <f t="shared" si="2"/>
        <v>42583</v>
      </c>
      <c r="D63" s="241">
        <v>148865.27907744781</v>
      </c>
      <c r="E63" s="241">
        <v>17081516.994519681</v>
      </c>
      <c r="F63" s="241">
        <v>68455562.195814565</v>
      </c>
      <c r="G63" s="241">
        <v>419600946.31289577</v>
      </c>
      <c r="H63" s="241">
        <v>450177005.57703769</v>
      </c>
      <c r="I63" s="241">
        <v>45740447.080666579</v>
      </c>
      <c r="J63" s="241">
        <v>397455725.59650469</v>
      </c>
      <c r="K63" s="241">
        <v>127770.81238062677</v>
      </c>
      <c r="L63" s="241">
        <v>1837972.0334346534</v>
      </c>
      <c r="M63" s="241">
        <v>14111960.539701035</v>
      </c>
    </row>
    <row r="64" spans="2:16" x14ac:dyDescent="0.25">
      <c r="C64" s="234">
        <f t="shared" si="2"/>
        <v>42614</v>
      </c>
      <c r="D64" s="241">
        <v>153125.40526560842</v>
      </c>
      <c r="E64" s="241">
        <v>17245141.252917845</v>
      </c>
      <c r="F64" s="241">
        <v>69423435.42043367</v>
      </c>
      <c r="G64" s="241">
        <v>425522242.85511911</v>
      </c>
      <c r="H64" s="241">
        <v>454553842.350142</v>
      </c>
      <c r="I64" s="241">
        <v>45965179.821513779</v>
      </c>
      <c r="J64" s="241">
        <v>400429287.72848004</v>
      </c>
      <c r="K64" s="241">
        <v>128077.73087158694</v>
      </c>
      <c r="L64" s="241">
        <v>1897732.1743087661</v>
      </c>
      <c r="M64" s="241">
        <v>14341301.437462434</v>
      </c>
    </row>
    <row r="65" spans="3:15" x14ac:dyDescent="0.25">
      <c r="C65" s="234">
        <f t="shared" si="2"/>
        <v>42644</v>
      </c>
      <c r="D65" s="241">
        <v>148851.55802246914</v>
      </c>
      <c r="E65" s="241">
        <v>17473710.836006984</v>
      </c>
      <c r="F65" s="241">
        <v>70435610.685433209</v>
      </c>
      <c r="G65" s="241">
        <v>431207821.42395473</v>
      </c>
      <c r="H65" s="241">
        <v>458720349.15429193</v>
      </c>
      <c r="I65" s="241">
        <v>46124852.997963704</v>
      </c>
      <c r="J65" s="241">
        <v>403321638.30432588</v>
      </c>
      <c r="K65" s="241">
        <v>361698.85066083807</v>
      </c>
      <c r="L65" s="241">
        <v>2223128.2698286725</v>
      </c>
      <c r="M65" s="241">
        <v>14557139.759097924</v>
      </c>
    </row>
    <row r="66" spans="3:15" x14ac:dyDescent="0.25">
      <c r="C66" s="234">
        <f t="shared" si="2"/>
        <v>42675</v>
      </c>
      <c r="D66" s="241">
        <v>148851.55802246917</v>
      </c>
      <c r="E66" s="241">
        <v>17702389.849043522</v>
      </c>
      <c r="F66" s="241">
        <v>71355197.138751402</v>
      </c>
      <c r="G66" s="241">
        <v>436133449.97298998</v>
      </c>
      <c r="H66" s="241">
        <v>462009430.67419326</v>
      </c>
      <c r="I66" s="241">
        <v>46029582.15421848</v>
      </c>
      <c r="J66" s="241">
        <v>405594738.26728094</v>
      </c>
      <c r="K66" s="241">
        <v>598403.09386321448</v>
      </c>
      <c r="L66" s="241">
        <v>2561546.8080636878</v>
      </c>
      <c r="M66" s="241">
        <v>14725918.785097254</v>
      </c>
    </row>
    <row r="67" spans="3:15" x14ac:dyDescent="0.25">
      <c r="C67" s="234">
        <f>C51</f>
        <v>42705</v>
      </c>
      <c r="D67" s="241">
        <v>297703.11604493827</v>
      </c>
      <c r="E67" s="241">
        <v>17782235.882381424</v>
      </c>
      <c r="F67" s="241">
        <v>72260282.663679585</v>
      </c>
      <c r="G67" s="241">
        <v>439653027.79319572</v>
      </c>
      <c r="H67" s="241">
        <v>465353601.53802395</v>
      </c>
      <c r="I67" s="241">
        <v>46058792.048423618</v>
      </c>
      <c r="J67" s="241">
        <v>407738326.31860054</v>
      </c>
      <c r="K67" s="241">
        <v>839658.64846191066</v>
      </c>
      <c r="L67" s="241">
        <v>2896107.6429296676</v>
      </c>
      <c r="M67" s="241">
        <v>14910822.35021608</v>
      </c>
      <c r="N67" s="236">
        <f>SUM(D67:M67)</f>
        <v>1467790558.0019572</v>
      </c>
      <c r="O67" s="236">
        <f>N67-'Accum Depr Calc'!M37</f>
        <v>0</v>
      </c>
    </row>
    <row r="69" spans="3:15" x14ac:dyDescent="0.25">
      <c r="D69" s="236"/>
      <c r="E69" s="236"/>
    </row>
    <row r="70" spans="3:15" x14ac:dyDescent="0.25">
      <c r="E70" s="236"/>
    </row>
    <row r="71" spans="3:15" x14ac:dyDescent="0.25">
      <c r="E71" s="236"/>
    </row>
    <row r="72" spans="3:15" x14ac:dyDescent="0.25">
      <c r="E72" s="236"/>
    </row>
  </sheetData>
  <pageMargins left="0.7" right="0.7" top="0.75" bottom="0.75" header="0.3" footer="0.3"/>
  <pageSetup scale="50" orientation="portrait" r:id="rId1"/>
  <headerFooter>
    <oddHeader>&amp;RExhibit SCE-22
TO2018
WP‐Schedule 6 and 8
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zoomScaleNormal="100" workbookViewId="0">
      <selection activeCell="B19" sqref="B19"/>
    </sheetView>
  </sheetViews>
  <sheetFormatPr defaultColWidth="9.140625" defaultRowHeight="15" x14ac:dyDescent="0.25"/>
  <cols>
    <col min="1" max="2" width="21" style="52" customWidth="1"/>
    <col min="3" max="5" width="19.140625" style="50" customWidth="1"/>
    <col min="6" max="6" width="18.5703125" style="50" customWidth="1"/>
    <col min="7" max="7" width="20.42578125" style="50" customWidth="1"/>
    <col min="8" max="8" width="9.140625" style="52"/>
    <col min="9" max="10" width="15.5703125" style="52" hidden="1" customWidth="1"/>
    <col min="11" max="11" width="18.85546875" style="52" hidden="1" customWidth="1"/>
    <col min="12" max="12" width="14.28515625" style="52" hidden="1" customWidth="1"/>
    <col min="13" max="16384" width="9.140625" style="52"/>
  </cols>
  <sheetData>
    <row r="1" spans="1:12" x14ac:dyDescent="0.25">
      <c r="A1" s="227" t="s">
        <v>176</v>
      </c>
      <c r="B1" s="227"/>
      <c r="C1" s="227"/>
      <c r="D1" s="227"/>
      <c r="E1" s="227"/>
      <c r="F1" s="227"/>
      <c r="G1" s="227"/>
    </row>
    <row r="2" spans="1:12" x14ac:dyDescent="0.25">
      <c r="A2" s="228" t="s">
        <v>177</v>
      </c>
      <c r="B2" s="228"/>
      <c r="C2" s="228"/>
      <c r="D2" s="228"/>
      <c r="E2" s="228"/>
      <c r="F2" s="228"/>
      <c r="G2" s="228"/>
    </row>
    <row r="3" spans="1:12" x14ac:dyDescent="0.25">
      <c r="A3" s="229" t="s">
        <v>178</v>
      </c>
      <c r="B3" s="229"/>
      <c r="C3" s="230"/>
      <c r="D3" s="230"/>
      <c r="E3" s="230"/>
      <c r="F3" s="230"/>
      <c r="G3" s="230"/>
    </row>
    <row r="4" spans="1:12" x14ac:dyDescent="0.25">
      <c r="A4" s="50"/>
      <c r="B4" s="50"/>
      <c r="C4" s="79"/>
      <c r="F4" s="114"/>
    </row>
    <row r="5" spans="1:12" x14ac:dyDescent="0.25">
      <c r="A5" s="231" t="s">
        <v>179</v>
      </c>
      <c r="B5" s="231"/>
      <c r="C5" s="231"/>
      <c r="D5" s="231"/>
      <c r="E5" s="231"/>
      <c r="F5" s="231"/>
      <c r="G5" s="231"/>
    </row>
    <row r="6" spans="1:12" ht="15.75" thickBot="1" x14ac:dyDescent="0.3">
      <c r="A6" s="226" t="s">
        <v>180</v>
      </c>
      <c r="B6" s="226"/>
      <c r="C6" s="226"/>
      <c r="D6" s="226"/>
      <c r="E6" s="226"/>
      <c r="F6" s="226"/>
      <c r="G6" s="226"/>
      <c r="I6" s="52" t="s">
        <v>181</v>
      </c>
    </row>
    <row r="7" spans="1:12" ht="45" x14ac:dyDescent="0.25">
      <c r="A7" s="80"/>
      <c r="B7" s="81" t="s">
        <v>182</v>
      </c>
      <c r="C7" s="82" t="s">
        <v>183</v>
      </c>
      <c r="D7" s="82" t="s">
        <v>184</v>
      </c>
      <c r="E7" s="81" t="s">
        <v>185</v>
      </c>
      <c r="F7" s="82" t="s">
        <v>186</v>
      </c>
      <c r="G7" s="81" t="s">
        <v>187</v>
      </c>
      <c r="I7" s="72" t="s">
        <v>188</v>
      </c>
      <c r="J7" s="72" t="s">
        <v>189</v>
      </c>
      <c r="K7" s="83" t="s">
        <v>190</v>
      </c>
      <c r="L7" s="83" t="s">
        <v>191</v>
      </c>
    </row>
    <row r="8" spans="1:12" x14ac:dyDescent="0.25">
      <c r="A8" s="84" t="s">
        <v>192</v>
      </c>
      <c r="B8" s="84"/>
      <c r="C8" s="85"/>
      <c r="D8" s="85"/>
      <c r="E8" s="86"/>
      <c r="F8" s="85"/>
      <c r="G8" s="86"/>
    </row>
    <row r="9" spans="1:12" x14ac:dyDescent="0.25">
      <c r="A9" s="87">
        <v>352</v>
      </c>
      <c r="B9" s="88">
        <v>825778507.51000011</v>
      </c>
      <c r="C9" s="237">
        <v>825778507.54018676</v>
      </c>
      <c r="D9" s="237">
        <v>531582610.71770966</v>
      </c>
      <c r="E9" s="89">
        <f>D9/C9</f>
        <v>0.64373510071263274</v>
      </c>
      <c r="F9" s="237">
        <f>264822293.712856+L9</f>
        <v>264612612.76285601</v>
      </c>
      <c r="G9" s="115">
        <f>(D9-F9)/(C9-F9)</f>
        <v>0.47574166648311139</v>
      </c>
      <c r="I9" s="54">
        <v>-209680.95</v>
      </c>
      <c r="J9" s="54">
        <v>-209680.95</v>
      </c>
      <c r="K9" s="54">
        <v>-209680.95</v>
      </c>
      <c r="L9" s="54">
        <v>-209680.95</v>
      </c>
    </row>
    <row r="10" spans="1:12" x14ac:dyDescent="0.25">
      <c r="A10" s="87">
        <v>353</v>
      </c>
      <c r="B10" s="99">
        <v>5586246879.8799992</v>
      </c>
      <c r="C10" s="238">
        <v>5586246880.0237732</v>
      </c>
      <c r="D10" s="238">
        <v>3249175449.0339036</v>
      </c>
      <c r="E10" s="90">
        <f>D10/C10</f>
        <v>0.58163835555726029</v>
      </c>
      <c r="F10" s="238">
        <f>1133923211.83474+L10</f>
        <v>1133695494.8547399</v>
      </c>
      <c r="G10" s="116">
        <f>(D10-F10)/(C10-F10)</f>
        <v>0.47511634817412746</v>
      </c>
      <c r="I10" s="54">
        <v>-227716.97999999998</v>
      </c>
      <c r="J10" s="54">
        <v>-227716.97999999998</v>
      </c>
      <c r="K10" s="54">
        <v>-227716.97999999998</v>
      </c>
      <c r="L10" s="54">
        <v>-227716.97999999998</v>
      </c>
    </row>
    <row r="11" spans="1:12" x14ac:dyDescent="0.25">
      <c r="A11" s="91" t="s">
        <v>193</v>
      </c>
      <c r="B11" s="92">
        <f>SUM(B9:B10)</f>
        <v>6412025387.3899994</v>
      </c>
      <c r="C11" s="92">
        <f>SUM(C9:C10)</f>
        <v>6412025387.5639601</v>
      </c>
      <c r="D11" s="92">
        <f>SUM(D9:D10)</f>
        <v>3780758059.7516131</v>
      </c>
      <c r="E11" s="89">
        <f>D11/C11</f>
        <v>0.58963554122607564</v>
      </c>
      <c r="F11" s="92">
        <f>+F9+F10</f>
        <v>1398308107.6175959</v>
      </c>
      <c r="G11" s="89">
        <f>(D11-F11)/(C11-F11)</f>
        <v>0.47518633762283141</v>
      </c>
    </row>
    <row r="12" spans="1:12" x14ac:dyDescent="0.25">
      <c r="A12" s="93"/>
      <c r="B12" s="93"/>
      <c r="C12" s="94"/>
      <c r="D12" s="94"/>
      <c r="E12" s="89"/>
      <c r="F12" s="94"/>
      <c r="G12" s="89"/>
    </row>
    <row r="13" spans="1:12" x14ac:dyDescent="0.25">
      <c r="A13" s="95" t="s">
        <v>194</v>
      </c>
      <c r="B13" s="95"/>
      <c r="C13" s="94"/>
      <c r="D13" s="94"/>
      <c r="E13" s="96"/>
      <c r="F13" s="94"/>
      <c r="G13" s="96"/>
    </row>
    <row r="14" spans="1:12" x14ac:dyDescent="0.25">
      <c r="A14" s="87">
        <v>350</v>
      </c>
      <c r="B14" s="99">
        <v>338945966.63999999</v>
      </c>
      <c r="C14" s="238">
        <v>338945966.63999993</v>
      </c>
      <c r="D14" s="238">
        <v>252172630.38129246</v>
      </c>
      <c r="E14" s="90">
        <f>D14/C14</f>
        <v>0.74399065102057738</v>
      </c>
      <c r="F14" s="238">
        <v>113550050.48</v>
      </c>
      <c r="G14" s="90">
        <f>(D14-F14)/(C14-F14)</f>
        <v>0.61501815233817103</v>
      </c>
      <c r="I14" s="54" t="s">
        <v>195</v>
      </c>
      <c r="J14" s="97"/>
    </row>
    <row r="15" spans="1:12" x14ac:dyDescent="0.25">
      <c r="A15" s="95" t="s">
        <v>196</v>
      </c>
      <c r="B15" s="92">
        <f>B11+B14</f>
        <v>6750971354.0299997</v>
      </c>
      <c r="C15" s="92">
        <f>C11+C14</f>
        <v>6750971354.2039604</v>
      </c>
      <c r="D15" s="92">
        <f>D11+D14</f>
        <v>4032930690.1329055</v>
      </c>
      <c r="E15" s="89">
        <f>D15/C15</f>
        <v>0.59738524703138041</v>
      </c>
      <c r="F15" s="92">
        <f>F11+F14</f>
        <v>1511858158.0975959</v>
      </c>
      <c r="G15" s="89">
        <f>(D15-F15)/(C15-F15)</f>
        <v>0.48120214961359026</v>
      </c>
      <c r="J15" s="52" t="s">
        <v>197</v>
      </c>
      <c r="K15" s="52" t="s">
        <v>198</v>
      </c>
      <c r="L15" s="52" t="s">
        <v>199</v>
      </c>
    </row>
    <row r="16" spans="1:12" x14ac:dyDescent="0.25">
      <c r="A16" s="93"/>
      <c r="B16" s="93"/>
      <c r="C16" s="94"/>
      <c r="D16" s="94"/>
      <c r="E16" s="89"/>
      <c r="F16" s="94"/>
      <c r="G16" s="89"/>
      <c r="I16" s="52" t="s">
        <v>200</v>
      </c>
      <c r="J16" s="59">
        <f>C9-(F9-L9)</f>
        <v>560956213.82733083</v>
      </c>
      <c r="K16" s="59">
        <f>D9-(F9-L9)</f>
        <v>266760317.00485367</v>
      </c>
      <c r="L16" s="117">
        <f>K16/J16</f>
        <v>0.47554570290751025</v>
      </c>
    </row>
    <row r="17" spans="1:12" x14ac:dyDescent="0.25">
      <c r="A17" s="95" t="s">
        <v>201</v>
      </c>
      <c r="B17" s="95"/>
      <c r="C17" s="94"/>
      <c r="D17" s="94"/>
      <c r="E17" s="98"/>
      <c r="F17" s="94"/>
      <c r="G17" s="98"/>
      <c r="I17" s="52" t="s">
        <v>202</v>
      </c>
      <c r="J17" s="59">
        <f>C9-F9</f>
        <v>561165894.77733076</v>
      </c>
      <c r="K17" s="59">
        <f>D9-F9</f>
        <v>266969997.95485365</v>
      </c>
      <c r="L17" s="117">
        <f>K17/J17</f>
        <v>0.47574166648311139</v>
      </c>
    </row>
    <row r="18" spans="1:12" x14ac:dyDescent="0.25">
      <c r="A18" s="87">
        <v>354</v>
      </c>
      <c r="B18" s="88">
        <v>2305498226.4399996</v>
      </c>
      <c r="C18" s="237">
        <v>2305498226.6700001</v>
      </c>
      <c r="D18" s="237">
        <v>2233991232.3950157</v>
      </c>
      <c r="E18" s="89">
        <f t="shared" ref="E18:E24" si="0">D18/C18</f>
        <v>0.96898414691983215</v>
      </c>
      <c r="F18" s="237">
        <v>1757159286.4618263</v>
      </c>
      <c r="G18" s="89">
        <f t="shared" ref="G18:G24" si="1">(D18-F18)/(C18-F18)</f>
        <v>0.86959344115185921</v>
      </c>
      <c r="I18" s="54" t="s">
        <v>203</v>
      </c>
      <c r="J18" s="59">
        <f>J17-J16</f>
        <v>209680.94999992847</v>
      </c>
      <c r="K18" s="59">
        <f>K17-K16</f>
        <v>209680.94999998808</v>
      </c>
      <c r="L18" s="73">
        <f>L17-L16</f>
        <v>1.9596357560114352E-4</v>
      </c>
    </row>
    <row r="19" spans="1:12" x14ac:dyDescent="0.25">
      <c r="A19" s="87">
        <v>355</v>
      </c>
      <c r="B19" s="88">
        <v>1158164968.4299998</v>
      </c>
      <c r="C19" s="237">
        <v>1158164967.51</v>
      </c>
      <c r="D19" s="237">
        <v>324258227.67707634</v>
      </c>
      <c r="E19" s="89">
        <f t="shared" si="0"/>
        <v>0.27997585557627097</v>
      </c>
      <c r="F19" s="237">
        <v>151903902.76000002</v>
      </c>
      <c r="G19" s="89">
        <f t="shared" si="1"/>
        <v>0.17128191773960449</v>
      </c>
      <c r="I19" s="54"/>
      <c r="J19" s="97"/>
    </row>
    <row r="20" spans="1:12" x14ac:dyDescent="0.25">
      <c r="A20" s="87">
        <v>356</v>
      </c>
      <c r="B20" s="88">
        <v>1499811259.5500002</v>
      </c>
      <c r="C20" s="237">
        <v>1499811258.4158542</v>
      </c>
      <c r="D20" s="237">
        <v>1235903789.8920355</v>
      </c>
      <c r="E20" s="89">
        <f t="shared" si="0"/>
        <v>0.82403954694768344</v>
      </c>
      <c r="F20" s="237">
        <v>815549135.04719698</v>
      </c>
      <c r="G20" s="89">
        <f t="shared" si="1"/>
        <v>0.61431816914753534</v>
      </c>
      <c r="I20" s="54" t="s">
        <v>204</v>
      </c>
      <c r="J20" s="97"/>
      <c r="L20" s="59">
        <f>J16</f>
        <v>560956213.82733083</v>
      </c>
    </row>
    <row r="21" spans="1:12" x14ac:dyDescent="0.25">
      <c r="A21" s="87">
        <v>357</v>
      </c>
      <c r="B21" s="88">
        <v>253220290.41</v>
      </c>
      <c r="C21" s="237">
        <v>253220290.25999999</v>
      </c>
      <c r="D21" s="237">
        <v>185508196.51391283</v>
      </c>
      <c r="E21" s="89">
        <f t="shared" si="0"/>
        <v>0.73259609774334378</v>
      </c>
      <c r="F21" s="237">
        <v>185286762.54000002</v>
      </c>
      <c r="G21" s="89">
        <f t="shared" si="1"/>
        <v>3.2595683066170881E-3</v>
      </c>
      <c r="I21" s="54" t="s">
        <v>205</v>
      </c>
      <c r="J21" s="97"/>
      <c r="L21" s="73">
        <f>L18</f>
        <v>1.9596357560114352E-4</v>
      </c>
    </row>
    <row r="22" spans="1:12" x14ac:dyDescent="0.25">
      <c r="A22" s="87">
        <v>358</v>
      </c>
      <c r="B22" s="88">
        <v>368734328.63</v>
      </c>
      <c r="C22" s="237">
        <v>368734329.49000001</v>
      </c>
      <c r="D22" s="237">
        <v>81951071.959831506</v>
      </c>
      <c r="E22" s="89">
        <f t="shared" si="0"/>
        <v>0.22224963993230254</v>
      </c>
      <c r="F22" s="237">
        <v>79876648.5</v>
      </c>
      <c r="G22" s="89">
        <f t="shared" si="1"/>
        <v>7.1814723871002784E-3</v>
      </c>
      <c r="I22" s="54" t="s">
        <v>206</v>
      </c>
      <c r="J22" s="97"/>
      <c r="L22" s="66">
        <f>L20*L21</f>
        <v>109926.98541728337</v>
      </c>
    </row>
    <row r="23" spans="1:12" x14ac:dyDescent="0.25">
      <c r="A23" s="87">
        <v>359</v>
      </c>
      <c r="B23" s="99">
        <v>200535234.45000005</v>
      </c>
      <c r="C23" s="238">
        <v>200535235.83000001</v>
      </c>
      <c r="D23" s="238">
        <v>182027086.53564012</v>
      </c>
      <c r="E23" s="90">
        <f t="shared" si="0"/>
        <v>0.90770624814259659</v>
      </c>
      <c r="F23" s="238">
        <v>138148965.33059186</v>
      </c>
      <c r="G23" s="90">
        <f t="shared" si="1"/>
        <v>0.70332976877443776</v>
      </c>
      <c r="I23" s="54"/>
      <c r="J23" s="97"/>
    </row>
    <row r="24" spans="1:12" x14ac:dyDescent="0.25">
      <c r="A24" s="91" t="s">
        <v>207</v>
      </c>
      <c r="B24" s="94">
        <f>SUM(B18:B23)</f>
        <v>5785964307.9099998</v>
      </c>
      <c r="C24" s="94">
        <f>SUM(C18:C23)</f>
        <v>5785964308.1758547</v>
      </c>
      <c r="D24" s="100">
        <f>SUM(D18:D23)</f>
        <v>4243639604.9735122</v>
      </c>
      <c r="E24" s="89">
        <f t="shared" si="0"/>
        <v>0.7334368791347432</v>
      </c>
      <c r="F24" s="100">
        <f>SUM(F18:F23)</f>
        <v>3127924700.6396151</v>
      </c>
      <c r="G24" s="89">
        <f t="shared" si="1"/>
        <v>0.41975104553391629</v>
      </c>
    </row>
    <row r="25" spans="1:12" x14ac:dyDescent="0.25">
      <c r="A25" s="101"/>
      <c r="B25" s="101"/>
      <c r="C25" s="94"/>
      <c r="D25" s="94"/>
      <c r="E25" s="86"/>
      <c r="F25" s="94"/>
      <c r="G25" s="86"/>
      <c r="I25" s="54" t="s">
        <v>195</v>
      </c>
      <c r="J25" s="97"/>
    </row>
    <row r="26" spans="1:12" ht="15.75" thickBot="1" x14ac:dyDescent="0.3">
      <c r="A26" s="102" t="s">
        <v>208</v>
      </c>
      <c r="B26" s="103">
        <f>B24+B15</f>
        <v>12536935661.939999</v>
      </c>
      <c r="C26" s="103">
        <f>C24+C15</f>
        <v>12536935662.379814</v>
      </c>
      <c r="D26" s="103">
        <f>D24+D15</f>
        <v>8276570295.1064177</v>
      </c>
      <c r="E26" s="104">
        <f>D26/C26</f>
        <v>0.66017490381978428</v>
      </c>
      <c r="F26" s="103">
        <f>F24+F15</f>
        <v>4639782858.7372112</v>
      </c>
      <c r="G26" s="104">
        <f>(D26-F26)/(C26-F26)</f>
        <v>0.46051881314639365</v>
      </c>
      <c r="J26" s="52" t="s">
        <v>197</v>
      </c>
      <c r="K26" s="52" t="s">
        <v>198</v>
      </c>
      <c r="L26" s="52" t="s">
        <v>199</v>
      </c>
    </row>
    <row r="27" spans="1:12" x14ac:dyDescent="0.25">
      <c r="A27" s="101"/>
      <c r="B27" s="101"/>
      <c r="C27" s="85"/>
      <c r="D27" s="85"/>
      <c r="E27" s="105"/>
      <c r="F27" s="85"/>
      <c r="G27" s="98"/>
      <c r="I27" s="52" t="s">
        <v>200</v>
      </c>
      <c r="J27" s="59">
        <f>C10-(F10-L10)</f>
        <v>4452323668.1890335</v>
      </c>
      <c r="K27" s="59">
        <f>D10-(F10-L10)</f>
        <v>2115252237.1991637</v>
      </c>
      <c r="L27" s="117">
        <f>K27/J27</f>
        <v>0.47508950265952582</v>
      </c>
    </row>
    <row r="28" spans="1:12" ht="15.75" thickBot="1" x14ac:dyDescent="0.3">
      <c r="A28" s="226" t="s">
        <v>209</v>
      </c>
      <c r="B28" s="226"/>
      <c r="C28" s="226"/>
      <c r="D28" s="226"/>
      <c r="E28" s="226"/>
      <c r="I28" s="52" t="s">
        <v>202</v>
      </c>
      <c r="J28" s="59">
        <f>C10-F10</f>
        <v>4452551385.1690331</v>
      </c>
      <c r="K28" s="59">
        <f>D10-F10</f>
        <v>2115479954.1791637</v>
      </c>
      <c r="L28" s="117">
        <f>K28/J28</f>
        <v>0.47511634817412746</v>
      </c>
    </row>
    <row r="29" spans="1:12" ht="30" x14ac:dyDescent="0.25">
      <c r="A29" s="80"/>
      <c r="B29" s="80"/>
      <c r="C29" s="82" t="s">
        <v>183</v>
      </c>
      <c r="D29" s="82" t="s">
        <v>184</v>
      </c>
      <c r="E29" s="81" t="s">
        <v>185</v>
      </c>
      <c r="F29" s="82"/>
      <c r="G29" s="81"/>
      <c r="I29" s="54" t="s">
        <v>203</v>
      </c>
      <c r="J29" s="59">
        <f>J28-J27</f>
        <v>227716.97999954224</v>
      </c>
      <c r="K29" s="59">
        <f>K28-K27</f>
        <v>227716.98000001907</v>
      </c>
      <c r="L29" s="73">
        <f>L28-L27</f>
        <v>2.6845514601636644E-5</v>
      </c>
    </row>
    <row r="30" spans="1:12" x14ac:dyDescent="0.25">
      <c r="A30" s="84" t="s">
        <v>210</v>
      </c>
      <c r="B30" s="84"/>
      <c r="C30" s="85"/>
      <c r="D30" s="85"/>
      <c r="E30" s="105"/>
      <c r="F30" s="85"/>
      <c r="G30" s="105"/>
      <c r="I30" s="54"/>
      <c r="J30" s="97"/>
    </row>
    <row r="31" spans="1:12" x14ac:dyDescent="0.25">
      <c r="A31" s="87">
        <v>360</v>
      </c>
      <c r="B31" s="88">
        <v>124672240.66000003</v>
      </c>
      <c r="C31" s="237">
        <v>124672240.66000003</v>
      </c>
      <c r="D31" s="237">
        <v>0</v>
      </c>
      <c r="E31" s="89">
        <f>D31/C31</f>
        <v>0</v>
      </c>
      <c r="F31" s="237">
        <v>0</v>
      </c>
      <c r="G31" s="89">
        <f>(D31-F31)/(C31-F31)</f>
        <v>0</v>
      </c>
      <c r="I31" s="54" t="s">
        <v>204</v>
      </c>
      <c r="J31" s="97"/>
      <c r="L31" s="59">
        <f>J27</f>
        <v>4452323668.1890335</v>
      </c>
    </row>
    <row r="32" spans="1:12" x14ac:dyDescent="0.25">
      <c r="A32" s="95" t="s">
        <v>211</v>
      </c>
      <c r="B32" s="95"/>
      <c r="C32" s="94"/>
      <c r="D32" s="94"/>
      <c r="E32" s="89"/>
      <c r="F32" s="94"/>
      <c r="G32" s="89"/>
      <c r="I32" s="54" t="s">
        <v>205</v>
      </c>
      <c r="J32" s="97"/>
      <c r="L32" s="73">
        <f>L29</f>
        <v>2.6845514601636644E-5</v>
      </c>
    </row>
    <row r="33" spans="1:12" x14ac:dyDescent="0.25">
      <c r="A33" s="87">
        <v>361</v>
      </c>
      <c r="B33" s="88">
        <v>611762557.82000005</v>
      </c>
      <c r="C33" s="237">
        <v>611762557.81999934</v>
      </c>
      <c r="D33" s="237">
        <v>0</v>
      </c>
      <c r="E33" s="89">
        <f>D33/C33</f>
        <v>0</v>
      </c>
      <c r="F33" s="237">
        <v>0</v>
      </c>
      <c r="G33" s="89">
        <f>(D33-F33)/(C33-F33)</f>
        <v>0</v>
      </c>
      <c r="I33" s="54" t="s">
        <v>206</v>
      </c>
      <c r="J33" s="97"/>
      <c r="L33" s="66">
        <f>L31*L32</f>
        <v>119524.92004558112</v>
      </c>
    </row>
    <row r="34" spans="1:12" x14ac:dyDescent="0.25">
      <c r="A34" s="87">
        <v>362</v>
      </c>
      <c r="B34" s="99">
        <v>2397308356.0500007</v>
      </c>
      <c r="C34" s="238">
        <v>2397308356.0499973</v>
      </c>
      <c r="D34" s="238">
        <v>0</v>
      </c>
      <c r="E34" s="90">
        <f>D34/C34</f>
        <v>0</v>
      </c>
      <c r="F34" s="238">
        <v>0</v>
      </c>
      <c r="G34" s="90">
        <f>(D34-F34)/(C34-F34)</f>
        <v>0</v>
      </c>
      <c r="I34" s="54"/>
    </row>
    <row r="35" spans="1:12" x14ac:dyDescent="0.25">
      <c r="A35" s="106" t="s">
        <v>212</v>
      </c>
      <c r="B35" s="92">
        <f>SUM(B33:B34)</f>
        <v>3009070913.8700008</v>
      </c>
      <c r="C35" s="92">
        <f>SUM(C33:C34)</f>
        <v>3009070913.8699965</v>
      </c>
      <c r="D35" s="92">
        <f>SUM(D33:D34)</f>
        <v>0</v>
      </c>
      <c r="E35" s="89">
        <f>D35/C35</f>
        <v>0</v>
      </c>
      <c r="F35" s="92">
        <f>SUM(F33:F34)</f>
        <v>0</v>
      </c>
      <c r="G35" s="89">
        <f>(D35-F35)/(C35-F35)</f>
        <v>0</v>
      </c>
      <c r="L35" s="66">
        <f>+L33+L22</f>
        <v>229451.9054628645</v>
      </c>
    </row>
    <row r="36" spans="1:12" x14ac:dyDescent="0.25">
      <c r="A36" s="106"/>
      <c r="B36" s="106"/>
      <c r="C36" s="94"/>
      <c r="D36" s="94"/>
      <c r="E36" s="86"/>
      <c r="F36" s="94"/>
      <c r="G36" s="86"/>
      <c r="I36" s="54"/>
    </row>
    <row r="37" spans="1:12" ht="30.75" thickBot="1" x14ac:dyDescent="0.3">
      <c r="A37" s="107" t="s">
        <v>213</v>
      </c>
      <c r="B37" s="108">
        <f>B35+B31</f>
        <v>3133743154.5300007</v>
      </c>
      <c r="C37" s="108">
        <f>C35+C31</f>
        <v>3133743154.5299964</v>
      </c>
      <c r="D37" s="108">
        <f>D35+D31</f>
        <v>0</v>
      </c>
      <c r="E37" s="104">
        <f>D37/C37</f>
        <v>0</v>
      </c>
      <c r="F37" s="108">
        <f>F35+F31</f>
        <v>0</v>
      </c>
      <c r="G37" s="104">
        <f>(D37-F37)/(C37-F37)</f>
        <v>0</v>
      </c>
      <c r="I37" s="54"/>
    </row>
    <row r="38" spans="1:12" ht="15.75" thickBot="1" x14ac:dyDescent="0.3">
      <c r="A38" s="109"/>
      <c r="B38" s="109"/>
      <c r="C38" s="94"/>
      <c r="D38" s="94"/>
      <c r="E38" s="109"/>
      <c r="F38" s="94"/>
      <c r="G38" s="109"/>
      <c r="I38" s="110"/>
    </row>
    <row r="39" spans="1:12" ht="30.75" thickBot="1" x14ac:dyDescent="0.3">
      <c r="A39" s="111" t="s">
        <v>214</v>
      </c>
      <c r="B39" s="112">
        <f>B37+B26</f>
        <v>15670678816.469999</v>
      </c>
      <c r="C39" s="112">
        <f>C37+C26</f>
        <v>15670678816.909811</v>
      </c>
      <c r="D39" s="112">
        <f>D37+D26</f>
        <v>8276570295.1064177</v>
      </c>
      <c r="E39" s="113">
        <f>D39/C39</f>
        <v>0.52815646289523788</v>
      </c>
      <c r="F39" s="112">
        <f>F37+F26</f>
        <v>4639782858.7372112</v>
      </c>
      <c r="G39" s="113">
        <f>(D39-F39)/(C39-F39)</f>
        <v>0.32969102873958062</v>
      </c>
      <c r="I39" s="54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6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zoomScaleNormal="100" workbookViewId="0">
      <selection activeCell="B18" sqref="B18"/>
    </sheetView>
  </sheetViews>
  <sheetFormatPr defaultColWidth="9.140625" defaultRowHeight="15" x14ac:dyDescent="0.25"/>
  <cols>
    <col min="1" max="2" width="21" style="52" customWidth="1"/>
    <col min="3" max="5" width="19.140625" style="52" customWidth="1"/>
    <col min="6" max="6" width="18.5703125" style="52" customWidth="1"/>
    <col min="7" max="7" width="20.42578125" style="52" customWidth="1"/>
    <col min="8" max="8" width="9.140625" style="52"/>
    <col min="9" max="12" width="14.28515625" style="52" hidden="1" customWidth="1"/>
    <col min="13" max="16384" width="9.140625" style="52"/>
  </cols>
  <sheetData>
    <row r="1" spans="1:12" x14ac:dyDescent="0.25">
      <c r="A1" s="227" t="s">
        <v>176</v>
      </c>
      <c r="B1" s="227"/>
      <c r="C1" s="227"/>
      <c r="D1" s="227"/>
      <c r="E1" s="227"/>
      <c r="F1" s="227"/>
      <c r="G1" s="227"/>
    </row>
    <row r="2" spans="1:12" x14ac:dyDescent="0.25">
      <c r="A2" s="228" t="s">
        <v>177</v>
      </c>
      <c r="B2" s="228"/>
      <c r="C2" s="228"/>
      <c r="D2" s="228"/>
      <c r="E2" s="228"/>
      <c r="F2" s="228"/>
      <c r="G2" s="228"/>
    </row>
    <row r="3" spans="1:12" x14ac:dyDescent="0.25">
      <c r="A3" s="229" t="s">
        <v>215</v>
      </c>
      <c r="B3" s="229"/>
      <c r="C3" s="230"/>
      <c r="D3" s="230"/>
      <c r="E3" s="230"/>
      <c r="F3" s="230"/>
      <c r="G3" s="230"/>
    </row>
    <row r="4" spans="1:12" hidden="1" x14ac:dyDescent="0.25">
      <c r="A4" s="50"/>
      <c r="B4" s="50"/>
      <c r="C4" s="79"/>
      <c r="D4" s="50"/>
      <c r="E4" s="50">
        <f>IFERROR(C4/D4,0)</f>
        <v>0</v>
      </c>
      <c r="F4" s="50"/>
      <c r="G4" s="50"/>
    </row>
    <row r="5" spans="1:12" x14ac:dyDescent="0.25">
      <c r="A5" s="231" t="s">
        <v>179</v>
      </c>
      <c r="B5" s="231"/>
      <c r="C5" s="231"/>
      <c r="D5" s="231"/>
      <c r="E5" s="231"/>
      <c r="F5" s="231"/>
      <c r="G5" s="231"/>
    </row>
    <row r="6" spans="1:12" ht="15.75" thickBot="1" x14ac:dyDescent="0.3">
      <c r="A6" s="226" t="s">
        <v>180</v>
      </c>
      <c r="B6" s="226"/>
      <c r="C6" s="226"/>
      <c r="D6" s="226"/>
      <c r="E6" s="226"/>
      <c r="F6" s="226"/>
      <c r="G6" s="226"/>
      <c r="I6" s="52" t="s">
        <v>181</v>
      </c>
    </row>
    <row r="7" spans="1:12" ht="45" x14ac:dyDescent="0.25">
      <c r="A7" s="80"/>
      <c r="B7" s="81" t="s">
        <v>182</v>
      </c>
      <c r="C7" s="82" t="s">
        <v>183</v>
      </c>
      <c r="D7" s="82" t="s">
        <v>184</v>
      </c>
      <c r="E7" s="81" t="s">
        <v>185</v>
      </c>
      <c r="F7" s="82" t="s">
        <v>186</v>
      </c>
      <c r="G7" s="81" t="s">
        <v>187</v>
      </c>
      <c r="I7" s="72" t="s">
        <v>188</v>
      </c>
      <c r="J7" s="72" t="s">
        <v>189</v>
      </c>
      <c r="K7" s="83" t="s">
        <v>190</v>
      </c>
      <c r="L7" s="83" t="s">
        <v>191</v>
      </c>
    </row>
    <row r="8" spans="1:12" x14ac:dyDescent="0.25">
      <c r="A8" s="84" t="s">
        <v>192</v>
      </c>
      <c r="B8" s="84"/>
      <c r="C8" s="85"/>
      <c r="D8" s="85"/>
      <c r="E8" s="86"/>
      <c r="F8" s="85"/>
      <c r="G8" s="86"/>
    </row>
    <row r="9" spans="1:12" x14ac:dyDescent="0.25">
      <c r="A9" s="87">
        <v>352</v>
      </c>
      <c r="B9" s="88">
        <v>686827403</v>
      </c>
      <c r="C9" s="237">
        <v>686827403.82000017</v>
      </c>
      <c r="D9" s="237">
        <v>470458375.7060675</v>
      </c>
      <c r="E9" s="89">
        <f>D9/C9</f>
        <v>0.68497321610854445</v>
      </c>
      <c r="F9" s="237">
        <f>264971894.542856+K9</f>
        <v>264762213.59285602</v>
      </c>
      <c r="G9" s="89">
        <f>(D9-F9)/(C9-F9)</f>
        <v>0.48735637734661641</v>
      </c>
      <c r="I9" s="54">
        <v>-209680.95</v>
      </c>
      <c r="J9" s="54">
        <v>-209680.95</v>
      </c>
      <c r="K9" s="54">
        <v>-209680.95</v>
      </c>
      <c r="L9" s="54">
        <v>-209680.95</v>
      </c>
    </row>
    <row r="10" spans="1:12" x14ac:dyDescent="0.25">
      <c r="A10" s="87">
        <v>353</v>
      </c>
      <c r="B10" s="99">
        <v>5247711806</v>
      </c>
      <c r="C10" s="238">
        <v>5247711807.04</v>
      </c>
      <c r="D10" s="238">
        <v>3030177246.8090091</v>
      </c>
      <c r="E10" s="90">
        <f>D10/C10</f>
        <v>0.57742828841018179</v>
      </c>
      <c r="F10" s="238">
        <f>1088383902.94474+K10</f>
        <v>1088156185.96474</v>
      </c>
      <c r="G10" s="90">
        <f>(D10-F10)/(C10-F10)</f>
        <v>0.46688185896700418</v>
      </c>
      <c r="I10" s="54">
        <v>-227716.97999999998</v>
      </c>
      <c r="J10" s="54">
        <v>-227716.97999999998</v>
      </c>
      <c r="K10" s="54">
        <v>-227716.97999999998</v>
      </c>
      <c r="L10" s="54">
        <v>-227716.97999999998</v>
      </c>
    </row>
    <row r="11" spans="1:12" x14ac:dyDescent="0.25">
      <c r="A11" s="91" t="s">
        <v>193</v>
      </c>
      <c r="B11" s="92">
        <f>SUM(B9:B10)</f>
        <v>5934539209</v>
      </c>
      <c r="C11" s="92">
        <f>SUM(C9:C10)</f>
        <v>5934539210.8600006</v>
      </c>
      <c r="D11" s="92">
        <f>SUM(D9:D10)</f>
        <v>3500635622.5150766</v>
      </c>
      <c r="E11" s="89">
        <f>D11/C11</f>
        <v>0.58987488297474466</v>
      </c>
      <c r="F11" s="92">
        <f>+F9+F10</f>
        <v>1352918399.557596</v>
      </c>
      <c r="G11" s="89">
        <f>(D11-F11)/(C11-F11)</f>
        <v>0.46876799966930371</v>
      </c>
    </row>
    <row r="12" spans="1:12" x14ac:dyDescent="0.25">
      <c r="A12" s="93"/>
      <c r="B12" s="93"/>
      <c r="C12" s="94"/>
      <c r="D12" s="94"/>
      <c r="E12" s="89"/>
      <c r="F12" s="94"/>
      <c r="G12" s="89"/>
      <c r="L12" s="59"/>
    </row>
    <row r="13" spans="1:12" x14ac:dyDescent="0.25">
      <c r="A13" s="95" t="s">
        <v>194</v>
      </c>
      <c r="B13" s="95"/>
      <c r="C13" s="94"/>
      <c r="D13" s="94"/>
      <c r="E13" s="96"/>
      <c r="F13" s="94"/>
      <c r="G13" s="96"/>
      <c r="L13" s="59"/>
    </row>
    <row r="14" spans="1:12" x14ac:dyDescent="0.25">
      <c r="A14" s="87">
        <v>350</v>
      </c>
      <c r="B14" s="99">
        <v>328430727</v>
      </c>
      <c r="C14" s="238">
        <v>328430727.72000003</v>
      </c>
      <c r="D14" s="238">
        <v>241049134.60847738</v>
      </c>
      <c r="E14" s="90">
        <f>D14/C14</f>
        <v>0.73394208965118868</v>
      </c>
      <c r="F14" s="238">
        <v>103455460.43000001</v>
      </c>
      <c r="G14" s="90">
        <f>(D14-F14)/(C14-F14)</f>
        <v>0.61159466920919314</v>
      </c>
      <c r="I14" s="54"/>
      <c r="J14" s="97"/>
    </row>
    <row r="15" spans="1:12" x14ac:dyDescent="0.25">
      <c r="A15" s="95" t="s">
        <v>196</v>
      </c>
      <c r="B15" s="92">
        <f>B11+B14</f>
        <v>6262969936</v>
      </c>
      <c r="C15" s="92">
        <f>C11+C14</f>
        <v>6262969938.5800009</v>
      </c>
      <c r="D15" s="92">
        <f>D11+D14</f>
        <v>3741684757.1235542</v>
      </c>
      <c r="E15" s="89">
        <f>D15/C15</f>
        <v>0.59742978072985997</v>
      </c>
      <c r="F15" s="92">
        <f>F11+F14</f>
        <v>1456373859.987596</v>
      </c>
      <c r="G15" s="89">
        <f>(D15-F15)/(C15-F15)</f>
        <v>0.47545307734807696</v>
      </c>
    </row>
    <row r="16" spans="1:12" x14ac:dyDescent="0.25">
      <c r="A16" s="93"/>
      <c r="B16" s="93"/>
      <c r="C16" s="94"/>
      <c r="D16" s="94"/>
      <c r="E16" s="89"/>
      <c r="F16" s="94"/>
      <c r="G16" s="89"/>
    </row>
    <row r="17" spans="1:10" x14ac:dyDescent="0.25">
      <c r="A17" s="95" t="s">
        <v>201</v>
      </c>
      <c r="B17" s="95"/>
      <c r="C17" s="94"/>
      <c r="D17" s="94"/>
      <c r="E17" s="98"/>
      <c r="F17" s="94"/>
      <c r="G17" s="98"/>
    </row>
    <row r="18" spans="1:10" x14ac:dyDescent="0.25">
      <c r="A18" s="87">
        <v>354</v>
      </c>
      <c r="B18" s="88">
        <v>2259972825</v>
      </c>
      <c r="C18" s="237">
        <v>2259972825.6399999</v>
      </c>
      <c r="D18" s="237">
        <v>2164622762.8245416</v>
      </c>
      <c r="E18" s="89">
        <f t="shared" ref="E18:E24" si="0">D18/C18</f>
        <v>0.95780919941439735</v>
      </c>
      <c r="F18" s="237">
        <v>1705207063.9718261</v>
      </c>
      <c r="G18" s="89">
        <f t="shared" ref="G18:G24" si="1">(D18-F18)/(C18-F18)</f>
        <v>0.82812554522337167</v>
      </c>
      <c r="I18" s="54"/>
      <c r="J18" s="97"/>
    </row>
    <row r="19" spans="1:10" x14ac:dyDescent="0.25">
      <c r="A19" s="87">
        <v>355</v>
      </c>
      <c r="B19" s="88">
        <v>1008567359</v>
      </c>
      <c r="C19" s="237">
        <v>1008567359.33</v>
      </c>
      <c r="D19" s="237">
        <v>310678566.28323245</v>
      </c>
      <c r="E19" s="89">
        <f t="shared" si="0"/>
        <v>0.30803948135860643</v>
      </c>
      <c r="F19" s="237">
        <v>149246224.34000003</v>
      </c>
      <c r="G19" s="89">
        <f t="shared" si="1"/>
        <v>0.18786031830243652</v>
      </c>
      <c r="I19" s="54"/>
      <c r="J19" s="97"/>
    </row>
    <row r="20" spans="1:10" x14ac:dyDescent="0.25">
      <c r="A20" s="87">
        <v>356</v>
      </c>
      <c r="B20" s="88">
        <v>1482107625</v>
      </c>
      <c r="C20" s="237">
        <v>1482107623.72</v>
      </c>
      <c r="D20" s="237">
        <v>1239646180.7050807</v>
      </c>
      <c r="E20" s="89">
        <f t="shared" si="0"/>
        <v>0.83640766761164365</v>
      </c>
      <c r="F20" s="237">
        <v>827237631.93719709</v>
      </c>
      <c r="G20" s="89">
        <f t="shared" si="1"/>
        <v>0.62975636987908412</v>
      </c>
      <c r="I20" s="54"/>
      <c r="J20" s="97"/>
    </row>
    <row r="21" spans="1:10" x14ac:dyDescent="0.25">
      <c r="A21" s="87">
        <v>357</v>
      </c>
      <c r="B21" s="88">
        <v>61087062</v>
      </c>
      <c r="C21" s="237">
        <v>61087062.369999997</v>
      </c>
      <c r="D21" s="237">
        <v>221416.38459709552</v>
      </c>
      <c r="E21" s="89">
        <f t="shared" si="0"/>
        <v>3.6246035740922062E-3</v>
      </c>
      <c r="F21" s="237">
        <v>0</v>
      </c>
      <c r="G21" s="89">
        <f t="shared" si="1"/>
        <v>3.6246035740922062E-3</v>
      </c>
      <c r="I21" s="54"/>
      <c r="J21" s="97"/>
    </row>
    <row r="22" spans="1:10" x14ac:dyDescent="0.25">
      <c r="A22" s="87">
        <v>358</v>
      </c>
      <c r="B22" s="88">
        <v>268612323</v>
      </c>
      <c r="C22" s="237">
        <v>268612322.58999997</v>
      </c>
      <c r="D22" s="237">
        <v>13011928.174370928</v>
      </c>
      <c r="E22" s="89">
        <f t="shared" si="0"/>
        <v>4.8441292822711854E-2</v>
      </c>
      <c r="F22" s="237">
        <v>11017486.739999998</v>
      </c>
      <c r="G22" s="89">
        <f t="shared" si="1"/>
        <v>7.742552088786098E-3</v>
      </c>
      <c r="I22" s="54"/>
      <c r="J22" s="97"/>
    </row>
    <row r="23" spans="1:10" x14ac:dyDescent="0.25">
      <c r="A23" s="87">
        <v>359</v>
      </c>
      <c r="B23" s="99">
        <v>194018041</v>
      </c>
      <c r="C23" s="238">
        <v>194018040.61000001</v>
      </c>
      <c r="D23" s="238">
        <v>187087540.77399367</v>
      </c>
      <c r="E23" s="90">
        <f t="shared" si="0"/>
        <v>0.96427909582935389</v>
      </c>
      <c r="F23" s="238">
        <v>147473890.09059188</v>
      </c>
      <c r="G23" s="90">
        <f t="shared" si="1"/>
        <v>0.85109837093027529</v>
      </c>
      <c r="I23" s="54"/>
      <c r="J23" s="97"/>
    </row>
    <row r="24" spans="1:10" x14ac:dyDescent="0.25">
      <c r="A24" s="91" t="s">
        <v>207</v>
      </c>
      <c r="B24" s="94">
        <f>SUM(B18:B23)</f>
        <v>5274365235</v>
      </c>
      <c r="C24" s="94">
        <f>SUM(C18:C23)</f>
        <v>5274365234.2599993</v>
      </c>
      <c r="D24" s="100">
        <f>SUM(D18:D23)</f>
        <v>3915268395.1458163</v>
      </c>
      <c r="E24" s="89">
        <f t="shared" si="0"/>
        <v>0.74232030230176771</v>
      </c>
      <c r="F24" s="100">
        <f>SUM(F18:F23)</f>
        <v>2840182297.0796151</v>
      </c>
      <c r="G24" s="89">
        <f t="shared" si="1"/>
        <v>0.44166199739758194</v>
      </c>
    </row>
    <row r="25" spans="1:10" x14ac:dyDescent="0.25">
      <c r="A25" s="101"/>
      <c r="B25" s="101"/>
      <c r="C25" s="94"/>
      <c r="D25" s="94"/>
      <c r="E25" s="86"/>
      <c r="F25" s="94"/>
      <c r="G25" s="86"/>
    </row>
    <row r="26" spans="1:10" ht="15.75" thickBot="1" x14ac:dyDescent="0.3">
      <c r="A26" s="102" t="s">
        <v>208</v>
      </c>
      <c r="B26" s="103">
        <f>B24+B15</f>
        <v>11537335171</v>
      </c>
      <c r="C26" s="103">
        <f>C24+C15</f>
        <v>11537335172.84</v>
      </c>
      <c r="D26" s="103">
        <f>D24+D15</f>
        <v>7656953152.269371</v>
      </c>
      <c r="E26" s="104">
        <f>D26/C26</f>
        <v>0.66366739264839747</v>
      </c>
      <c r="F26" s="103">
        <f>F24+F15</f>
        <v>4296556157.0672112</v>
      </c>
      <c r="G26" s="104">
        <f>(D26-F26)/(C26-F26)</f>
        <v>0.46409329547029599</v>
      </c>
    </row>
    <row r="27" spans="1:10" x14ac:dyDescent="0.25">
      <c r="A27" s="101"/>
      <c r="B27" s="101"/>
      <c r="C27" s="85"/>
      <c r="D27" s="85"/>
      <c r="E27" s="105"/>
      <c r="F27" s="85"/>
      <c r="G27" s="98"/>
    </row>
    <row r="28" spans="1:10" ht="15.75" thickBot="1" x14ac:dyDescent="0.3">
      <c r="A28" s="226" t="s">
        <v>209</v>
      </c>
      <c r="B28" s="226"/>
      <c r="C28" s="226"/>
      <c r="D28" s="226"/>
      <c r="E28" s="226"/>
    </row>
    <row r="29" spans="1:10" ht="30" x14ac:dyDescent="0.25">
      <c r="A29" s="80"/>
      <c r="B29" s="80"/>
      <c r="C29" s="82" t="s">
        <v>183</v>
      </c>
      <c r="D29" s="82" t="s">
        <v>184</v>
      </c>
      <c r="E29" s="81" t="s">
        <v>185</v>
      </c>
      <c r="F29" s="82"/>
      <c r="G29" s="81"/>
    </row>
    <row r="30" spans="1:10" x14ac:dyDescent="0.25">
      <c r="A30" s="84" t="s">
        <v>210</v>
      </c>
      <c r="B30" s="84"/>
      <c r="C30" s="85"/>
      <c r="D30" s="85"/>
      <c r="E30" s="105"/>
      <c r="F30" s="85"/>
      <c r="G30" s="105"/>
    </row>
    <row r="31" spans="1:10" x14ac:dyDescent="0.25">
      <c r="A31" s="87">
        <v>360</v>
      </c>
      <c r="B31" s="88">
        <v>115272068</v>
      </c>
      <c r="C31" s="237">
        <v>115272068</v>
      </c>
      <c r="D31" s="239">
        <v>0</v>
      </c>
      <c r="E31" s="89">
        <f>D31/C31</f>
        <v>0</v>
      </c>
      <c r="F31" s="239">
        <v>0</v>
      </c>
      <c r="G31" s="89">
        <f>(D31-F31)/(C31-F31)</f>
        <v>0</v>
      </c>
      <c r="I31" s="54"/>
    </row>
    <row r="32" spans="1:10" x14ac:dyDescent="0.25">
      <c r="A32" s="95" t="s">
        <v>211</v>
      </c>
      <c r="B32" s="95"/>
      <c r="C32" s="237"/>
      <c r="D32" s="237"/>
      <c r="E32" s="89"/>
      <c r="F32" s="237"/>
      <c r="G32" s="89"/>
    </row>
    <row r="33" spans="1:9" x14ac:dyDescent="0.25">
      <c r="A33" s="87">
        <v>361</v>
      </c>
      <c r="B33" s="88">
        <v>576705979</v>
      </c>
      <c r="C33" s="237">
        <v>576705979</v>
      </c>
      <c r="D33" s="239">
        <v>0</v>
      </c>
      <c r="E33" s="89">
        <f>D33/C33</f>
        <v>0</v>
      </c>
      <c r="F33" s="239">
        <v>0</v>
      </c>
      <c r="G33" s="89">
        <f>(D33-F33)/(C33-F33)</f>
        <v>0</v>
      </c>
      <c r="I33" s="54"/>
    </row>
    <row r="34" spans="1:9" x14ac:dyDescent="0.25">
      <c r="A34" s="87">
        <v>362</v>
      </c>
      <c r="B34" s="99">
        <v>2244270529</v>
      </c>
      <c r="C34" s="238">
        <v>2244270529</v>
      </c>
      <c r="D34" s="240">
        <v>0</v>
      </c>
      <c r="E34" s="90">
        <f>D34/C34</f>
        <v>0</v>
      </c>
      <c r="F34" s="240">
        <v>0</v>
      </c>
      <c r="G34" s="90">
        <f>(D34-F34)/(C34-F34)</f>
        <v>0</v>
      </c>
      <c r="I34" s="54"/>
    </row>
    <row r="35" spans="1:9" x14ac:dyDescent="0.25">
      <c r="A35" s="106" t="s">
        <v>212</v>
      </c>
      <c r="B35" s="92">
        <f>SUM(B33:B34)</f>
        <v>2820976508</v>
      </c>
      <c r="C35" s="92">
        <f>SUM(C33:C34)</f>
        <v>2820976508</v>
      </c>
      <c r="D35" s="92">
        <f>SUM(D33:D34)</f>
        <v>0</v>
      </c>
      <c r="E35" s="89">
        <f>D35/C35</f>
        <v>0</v>
      </c>
      <c r="F35" s="92">
        <f>SUM(F33:F34)</f>
        <v>0</v>
      </c>
      <c r="G35" s="89">
        <f>(D35-F35)/(C35-F35)</f>
        <v>0</v>
      </c>
    </row>
    <row r="36" spans="1:9" x14ac:dyDescent="0.25">
      <c r="A36" s="106"/>
      <c r="B36" s="106"/>
      <c r="C36" s="94"/>
      <c r="D36" s="94"/>
      <c r="E36" s="86"/>
      <c r="F36" s="94"/>
      <c r="G36" s="86"/>
      <c r="I36" s="54"/>
    </row>
    <row r="37" spans="1:9" ht="30.75" thickBot="1" x14ac:dyDescent="0.3">
      <c r="A37" s="107" t="s">
        <v>213</v>
      </c>
      <c r="B37" s="108">
        <f>B35+B31</f>
        <v>2936248576</v>
      </c>
      <c r="C37" s="108">
        <f>C35+C31</f>
        <v>2936248576</v>
      </c>
      <c r="D37" s="108">
        <f>D35+D31</f>
        <v>0</v>
      </c>
      <c r="E37" s="104">
        <f>D37/C37</f>
        <v>0</v>
      </c>
      <c r="F37" s="108">
        <f>F35+F31</f>
        <v>0</v>
      </c>
      <c r="G37" s="104">
        <f>(D37-F37)/(C37-F37)</f>
        <v>0</v>
      </c>
      <c r="I37" s="54"/>
    </row>
    <row r="38" spans="1:9" ht="15.75" thickBot="1" x14ac:dyDescent="0.3">
      <c r="A38" s="109"/>
      <c r="B38" s="109"/>
      <c r="C38" s="94"/>
      <c r="D38" s="94"/>
      <c r="E38" s="109"/>
      <c r="F38" s="94"/>
      <c r="G38" s="109"/>
      <c r="I38" s="110"/>
    </row>
    <row r="39" spans="1:9" ht="30.75" thickBot="1" x14ac:dyDescent="0.3">
      <c r="A39" s="111" t="s">
        <v>214</v>
      </c>
      <c r="B39" s="112">
        <f>B37+B26</f>
        <v>14473583747</v>
      </c>
      <c r="C39" s="112">
        <f>C37+C26</f>
        <v>14473583748.84</v>
      </c>
      <c r="D39" s="112">
        <f>D37+D26</f>
        <v>7656953152.269371</v>
      </c>
      <c r="E39" s="113">
        <f>D39/C39</f>
        <v>0.52902952614503962</v>
      </c>
      <c r="F39" s="112">
        <f>F37+F26</f>
        <v>4296556157.0672112</v>
      </c>
      <c r="G39" s="113">
        <f>(D39-F39)/(C39-F39)</f>
        <v>0.33019434848724771</v>
      </c>
      <c r="I39" s="54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&amp;RExhibit SCE-22
TO2018
WP‐Schedule 6 and 8
Page &amp;P of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38"/>
  <sheetViews>
    <sheetView showGridLines="0" zoomScale="90" zoomScaleNormal="90" workbookViewId="0">
      <selection activeCell="B2" sqref="B2"/>
    </sheetView>
  </sheetViews>
  <sheetFormatPr defaultRowHeight="15" x14ac:dyDescent="0.25"/>
  <cols>
    <col min="1" max="1" width="12.5703125" style="52" bestFit="1" customWidth="1"/>
    <col min="2" max="2" width="26.85546875" style="52" bestFit="1" customWidth="1"/>
    <col min="3" max="6" width="15.140625" style="52" customWidth="1"/>
    <col min="7" max="9" width="16.28515625" style="52" bestFit="1" customWidth="1"/>
    <col min="10" max="12" width="15.28515625" style="52" bestFit="1" customWidth="1"/>
    <col min="13" max="13" width="16.28515625" style="52" customWidth="1"/>
    <col min="14" max="16" width="9.28515625" style="52" bestFit="1" customWidth="1"/>
    <col min="17" max="16384" width="9.140625" style="52"/>
  </cols>
  <sheetData>
    <row r="2" spans="2:16" x14ac:dyDescent="0.25">
      <c r="B2" s="51" t="s">
        <v>234</v>
      </c>
    </row>
    <row r="3" spans="2:16" ht="15.75" thickBot="1" x14ac:dyDescent="0.3">
      <c r="B3" s="245" t="s">
        <v>216</v>
      </c>
      <c r="C3" s="53"/>
      <c r="D3" s="53"/>
      <c r="E3" s="53"/>
      <c r="F3" s="53"/>
    </row>
    <row r="6" spans="2:16" x14ac:dyDescent="0.25">
      <c r="B6" s="67">
        <v>42339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9"/>
    </row>
    <row r="7" spans="2:16" x14ac:dyDescent="0.25">
      <c r="B7" s="51" t="s">
        <v>217</v>
      </c>
    </row>
    <row r="8" spans="2:16" x14ac:dyDescent="0.25">
      <c r="C8" s="55">
        <v>350.1</v>
      </c>
      <c r="D8" s="55">
        <v>350.2</v>
      </c>
      <c r="E8" s="55">
        <v>352</v>
      </c>
      <c r="F8" s="55">
        <v>353</v>
      </c>
      <c r="G8" s="55">
        <v>354</v>
      </c>
      <c r="H8" s="55">
        <v>355</v>
      </c>
      <c r="I8" s="55">
        <v>356</v>
      </c>
      <c r="J8" s="55">
        <v>357</v>
      </c>
      <c r="K8" s="55">
        <v>358</v>
      </c>
      <c r="L8" s="55">
        <v>359</v>
      </c>
      <c r="M8" s="55" t="s">
        <v>20</v>
      </c>
    </row>
    <row r="9" spans="2:16" x14ac:dyDescent="0.25">
      <c r="B9" s="52" t="s">
        <v>174</v>
      </c>
      <c r="C9" s="242">
        <v>0</v>
      </c>
      <c r="D9" s="242">
        <v>5256282.5381293325</v>
      </c>
      <c r="E9" s="242">
        <v>19176689.210279442</v>
      </c>
      <c r="F9" s="242">
        <v>94941616.177750304</v>
      </c>
      <c r="G9" s="242">
        <v>96628212.493386239</v>
      </c>
      <c r="H9" s="242">
        <v>10971150.157951837</v>
      </c>
      <c r="I9" s="242">
        <v>53721031.063152701</v>
      </c>
      <c r="J9" s="242">
        <v>0</v>
      </c>
      <c r="K9" s="242">
        <v>811991.67499649955</v>
      </c>
      <c r="L9" s="242">
        <v>5125901.2071686992</v>
      </c>
      <c r="M9" s="61">
        <f>SUM(C9:L9)</f>
        <v>286632874.52281505</v>
      </c>
      <c r="N9" s="61"/>
      <c r="O9" s="61"/>
      <c r="P9" s="61"/>
    </row>
    <row r="10" spans="2:16" x14ac:dyDescent="0.25">
      <c r="B10" s="70" t="s">
        <v>241</v>
      </c>
      <c r="C10" s="242">
        <v>0</v>
      </c>
      <c r="D10" s="242">
        <v>-479095.09</v>
      </c>
      <c r="E10" s="242">
        <v>-1724024.13</v>
      </c>
      <c r="F10" s="242">
        <v>34659083.379999995</v>
      </c>
      <c r="G10" s="242">
        <v>4638576.0700000012</v>
      </c>
      <c r="H10" s="242">
        <v>4146495.08</v>
      </c>
      <c r="I10" s="242">
        <v>478674.12000000104</v>
      </c>
      <c r="J10" s="242">
        <v>66793.989999999991</v>
      </c>
      <c r="K10" s="242">
        <v>103595.39</v>
      </c>
      <c r="L10" s="242">
        <v>158500.78</v>
      </c>
      <c r="M10" s="61">
        <f t="shared" ref="M10:M12" si="0">SUM(C10:L10)</f>
        <v>42048599.589999996</v>
      </c>
    </row>
    <row r="11" spans="2:16" x14ac:dyDescent="0.25">
      <c r="B11" s="52" t="s">
        <v>218</v>
      </c>
      <c r="C11" s="249">
        <f>C12-C9-C10</f>
        <v>242836</v>
      </c>
      <c r="D11" s="249">
        <f t="shared" ref="D11:L11" si="1">D12-D9-D10</f>
        <v>17206261.611870669</v>
      </c>
      <c r="E11" s="249">
        <f t="shared" si="1"/>
        <v>93149402.549720556</v>
      </c>
      <c r="F11" s="249">
        <f t="shared" si="1"/>
        <v>520284527.85224962</v>
      </c>
      <c r="G11" s="249">
        <f t="shared" si="1"/>
        <v>369022761.11661369</v>
      </c>
      <c r="H11" s="249">
        <f t="shared" si="1"/>
        <v>166168119.68204817</v>
      </c>
      <c r="I11" s="249">
        <f t="shared" si="1"/>
        <v>526871105.68684745</v>
      </c>
      <c r="J11" s="249">
        <f t="shared" si="1"/>
        <v>18010308.27</v>
      </c>
      <c r="K11" s="249">
        <f t="shared" si="1"/>
        <v>91928050.295003504</v>
      </c>
      <c r="L11" s="249">
        <f t="shared" si="1"/>
        <v>10067243.232831301</v>
      </c>
      <c r="M11" s="61">
        <f t="shared" si="0"/>
        <v>1812950616.2971847</v>
      </c>
    </row>
    <row r="12" spans="2:16" ht="15.75" thickBot="1" x14ac:dyDescent="0.3">
      <c r="B12" s="250" t="s">
        <v>244</v>
      </c>
      <c r="C12" s="251">
        <v>242836</v>
      </c>
      <c r="D12" s="251">
        <v>21983449.060000002</v>
      </c>
      <c r="E12" s="251">
        <v>110602067.63</v>
      </c>
      <c r="F12" s="251">
        <v>649885227.40999997</v>
      </c>
      <c r="G12" s="251">
        <v>470289549.67999995</v>
      </c>
      <c r="H12" s="251">
        <v>181285764.92000002</v>
      </c>
      <c r="I12" s="251">
        <v>581070810.87000012</v>
      </c>
      <c r="J12" s="251">
        <v>18077102.259999998</v>
      </c>
      <c r="K12" s="251">
        <v>92843637.359999999</v>
      </c>
      <c r="L12" s="251">
        <v>15351645.219999999</v>
      </c>
      <c r="M12" s="247">
        <f t="shared" si="0"/>
        <v>2141632090.4099998</v>
      </c>
    </row>
    <row r="13" spans="2:16" ht="15.75" thickTop="1" x14ac:dyDescent="0.25"/>
    <row r="14" spans="2:16" x14ac:dyDescent="0.25">
      <c r="B14" s="51" t="s">
        <v>175</v>
      </c>
    </row>
    <row r="15" spans="2:16" x14ac:dyDescent="0.25">
      <c r="C15" s="71"/>
      <c r="D15" s="55">
        <v>350</v>
      </c>
      <c r="E15" s="55">
        <v>352</v>
      </c>
      <c r="F15" s="55">
        <v>353</v>
      </c>
      <c r="G15" s="55">
        <v>354</v>
      </c>
      <c r="H15" s="55">
        <v>355</v>
      </c>
      <c r="I15" s="55">
        <v>356</v>
      </c>
      <c r="J15" s="55">
        <v>357</v>
      </c>
      <c r="K15" s="55">
        <v>358</v>
      </c>
      <c r="L15" s="55">
        <v>359</v>
      </c>
      <c r="M15" s="55" t="s">
        <v>20</v>
      </c>
    </row>
    <row r="16" spans="2:16" x14ac:dyDescent="0.25">
      <c r="B16" s="52" t="s">
        <v>242</v>
      </c>
      <c r="D16" s="243">
        <v>0.61159466920919314</v>
      </c>
      <c r="E16" s="243">
        <v>0.48735637734661641</v>
      </c>
      <c r="F16" s="243">
        <v>0.46688185896700418</v>
      </c>
      <c r="G16" s="243">
        <v>0.82812554522337167</v>
      </c>
      <c r="H16" s="243">
        <v>0.18786031830243652</v>
      </c>
      <c r="I16" s="243">
        <v>0.62975636987908412</v>
      </c>
      <c r="J16" s="243">
        <v>3.6246035740922062E-3</v>
      </c>
      <c r="K16" s="243">
        <v>7.742552088786098E-3</v>
      </c>
      <c r="L16" s="243">
        <v>0.85109837093027529</v>
      </c>
      <c r="M16" s="61"/>
    </row>
    <row r="17" spans="2:13" x14ac:dyDescent="0.25">
      <c r="B17" s="52" t="s">
        <v>174</v>
      </c>
      <c r="C17" s="54"/>
      <c r="D17" s="54">
        <f>D9+C9</f>
        <v>5256282.5381293325</v>
      </c>
      <c r="E17" s="54">
        <f t="shared" ref="E17:L17" si="2">E9</f>
        <v>19176689.210279442</v>
      </c>
      <c r="F17" s="54">
        <f t="shared" si="2"/>
        <v>94941616.177750304</v>
      </c>
      <c r="G17" s="54">
        <f t="shared" si="2"/>
        <v>96628212.493386239</v>
      </c>
      <c r="H17" s="54">
        <f t="shared" si="2"/>
        <v>10971150.157951837</v>
      </c>
      <c r="I17" s="54">
        <f t="shared" si="2"/>
        <v>53721031.063152701</v>
      </c>
      <c r="J17" s="54">
        <f t="shared" si="2"/>
        <v>0</v>
      </c>
      <c r="K17" s="54">
        <f t="shared" si="2"/>
        <v>811991.67499649955</v>
      </c>
      <c r="L17" s="54">
        <f t="shared" si="2"/>
        <v>5125901.2071686992</v>
      </c>
      <c r="M17" s="61">
        <f t="shared" ref="M17:M20" si="3">SUM(C17:L17)</f>
        <v>286632874.52281505</v>
      </c>
    </row>
    <row r="18" spans="2:13" x14ac:dyDescent="0.25">
      <c r="B18" s="52" t="s">
        <v>243</v>
      </c>
      <c r="C18" s="54"/>
      <c r="D18" s="54">
        <f>D10+C10</f>
        <v>-479095.09</v>
      </c>
      <c r="E18" s="54">
        <f t="shared" ref="E18:L18" si="4">E10</f>
        <v>-1724024.13</v>
      </c>
      <c r="F18" s="54">
        <f t="shared" si="4"/>
        <v>34659083.379999995</v>
      </c>
      <c r="G18" s="54">
        <f t="shared" si="4"/>
        <v>4638576.0700000012</v>
      </c>
      <c r="H18" s="54">
        <f t="shared" si="4"/>
        <v>4146495.08</v>
      </c>
      <c r="I18" s="54">
        <f t="shared" si="4"/>
        <v>478674.12000000104</v>
      </c>
      <c r="J18" s="54">
        <f t="shared" si="4"/>
        <v>66793.989999999991</v>
      </c>
      <c r="K18" s="54">
        <f t="shared" si="4"/>
        <v>103595.39</v>
      </c>
      <c r="L18" s="54">
        <f t="shared" si="4"/>
        <v>158500.78</v>
      </c>
      <c r="M18" s="61">
        <f t="shared" si="3"/>
        <v>42048599.589999996</v>
      </c>
    </row>
    <row r="19" spans="2:13" x14ac:dyDescent="0.25">
      <c r="B19" s="52" t="s">
        <v>218</v>
      </c>
      <c r="C19" s="54"/>
      <c r="D19" s="54">
        <f>(D11+C11)*D16</f>
        <v>10671775.081930963</v>
      </c>
      <c r="E19" s="54">
        <f>E16*E11</f>
        <v>45396955.378633484</v>
      </c>
      <c r="F19" s="54">
        <f t="shared" ref="F19:L19" si="5">F16*F11</f>
        <v>242911407.55542836</v>
      </c>
      <c r="G19" s="54">
        <f t="shared" si="5"/>
        <v>305597175.24952972</v>
      </c>
      <c r="H19" s="54">
        <f t="shared" si="5"/>
        <v>31216395.855186936</v>
      </c>
      <c r="I19" s="54">
        <f t="shared" si="5"/>
        <v>331800434.91152835</v>
      </c>
      <c r="J19" s="54">
        <f t="shared" si="5"/>
        <v>65280.227725944416</v>
      </c>
      <c r="K19" s="54">
        <f t="shared" si="5"/>
        <v>711757.7178296129</v>
      </c>
      <c r="L19" s="54">
        <f t="shared" si="5"/>
        <v>8568214.3152215593</v>
      </c>
      <c r="M19" s="61">
        <f t="shared" si="3"/>
        <v>976939396.29301488</v>
      </c>
    </row>
    <row r="20" spans="2:13" ht="15.75" thickBot="1" x14ac:dyDescent="0.3">
      <c r="B20" s="250" t="s">
        <v>245</v>
      </c>
      <c r="C20" s="248"/>
      <c r="D20" s="248">
        <f t="shared" ref="D20:L20" si="6">SUM(D17:D19)</f>
        <v>15448962.530060295</v>
      </c>
      <c r="E20" s="248">
        <f t="shared" si="6"/>
        <v>62849620.458912924</v>
      </c>
      <c r="F20" s="248">
        <f t="shared" si="6"/>
        <v>372512107.11317867</v>
      </c>
      <c r="G20" s="248">
        <f t="shared" si="6"/>
        <v>406863963.81291598</v>
      </c>
      <c r="H20" s="248">
        <f t="shared" si="6"/>
        <v>46334041.093138769</v>
      </c>
      <c r="I20" s="248">
        <f t="shared" si="6"/>
        <v>386000140.09468102</v>
      </c>
      <c r="J20" s="248">
        <f t="shared" si="6"/>
        <v>132074.21772594441</v>
      </c>
      <c r="K20" s="248">
        <f t="shared" si="6"/>
        <v>1627344.7828261126</v>
      </c>
      <c r="L20" s="248">
        <f t="shared" si="6"/>
        <v>13852616.302390259</v>
      </c>
      <c r="M20" s="247">
        <f t="shared" si="3"/>
        <v>1305620870.4058301</v>
      </c>
    </row>
    <row r="21" spans="2:13" ht="15.75" thickTop="1" x14ac:dyDescent="0.25"/>
    <row r="23" spans="2:13" x14ac:dyDescent="0.25">
      <c r="B23" s="67">
        <v>42705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9"/>
    </row>
    <row r="24" spans="2:13" x14ac:dyDescent="0.25">
      <c r="B24" s="51" t="s">
        <v>217</v>
      </c>
    </row>
    <row r="25" spans="2:13" x14ac:dyDescent="0.25">
      <c r="C25" s="55">
        <v>350.1</v>
      </c>
      <c r="D25" s="55">
        <v>350.2</v>
      </c>
      <c r="E25" s="55">
        <v>352</v>
      </c>
      <c r="F25" s="55">
        <v>353</v>
      </c>
      <c r="G25" s="55">
        <v>354</v>
      </c>
      <c r="H25" s="55">
        <v>355</v>
      </c>
      <c r="I25" s="55">
        <v>356</v>
      </c>
      <c r="J25" s="55">
        <v>357</v>
      </c>
      <c r="K25" s="55">
        <v>358</v>
      </c>
      <c r="L25" s="55">
        <v>359</v>
      </c>
      <c r="M25" s="55" t="s">
        <v>20</v>
      </c>
    </row>
    <row r="26" spans="2:13" x14ac:dyDescent="0.25">
      <c r="B26" s="52" t="s">
        <v>174</v>
      </c>
      <c r="C26" s="242">
        <v>0</v>
      </c>
      <c r="D26" s="242">
        <v>6825977.3420024989</v>
      </c>
      <c r="E26" s="242">
        <v>25774570.972262766</v>
      </c>
      <c r="F26" s="242">
        <v>122191684.66020004</v>
      </c>
      <c r="G26" s="242">
        <v>138586485.11295712</v>
      </c>
      <c r="H26" s="242">
        <v>16498585.567086834</v>
      </c>
      <c r="I26" s="242">
        <v>78974458.467809707</v>
      </c>
      <c r="J26" s="242">
        <v>746768.29838875006</v>
      </c>
      <c r="K26" s="242">
        <v>1915385.4720517492</v>
      </c>
      <c r="L26" s="242">
        <v>7373856.466038934</v>
      </c>
      <c r="M26" s="61">
        <f>SUM(C26:L26)</f>
        <v>398887772.35879844</v>
      </c>
    </row>
    <row r="27" spans="2:13" x14ac:dyDescent="0.25">
      <c r="B27" s="70" t="s">
        <v>241</v>
      </c>
      <c r="C27" s="242">
        <v>0</v>
      </c>
      <c r="D27" s="242">
        <v>-501927.75</v>
      </c>
      <c r="E27" s="242">
        <v>-1688100.6400000001</v>
      </c>
      <c r="F27" s="242">
        <v>33898698.229999997</v>
      </c>
      <c r="G27" s="242">
        <v>4418873.16</v>
      </c>
      <c r="H27" s="242">
        <v>3812464.8600000003</v>
      </c>
      <c r="I27" s="242">
        <v>636223.6400000006</v>
      </c>
      <c r="J27" s="242">
        <v>30649.51</v>
      </c>
      <c r="K27" s="242">
        <v>294168.28999999998</v>
      </c>
      <c r="L27" s="242">
        <v>-73684.55</v>
      </c>
      <c r="M27" s="61">
        <f t="shared" ref="M27:M29" si="7">SUM(C27:L27)</f>
        <v>40827364.75</v>
      </c>
    </row>
    <row r="28" spans="2:13" x14ac:dyDescent="0.25">
      <c r="B28" s="52" t="s">
        <v>218</v>
      </c>
      <c r="C28" s="54">
        <f>C29-C26-C27</f>
        <v>484055.82</v>
      </c>
      <c r="D28" s="54">
        <f t="shared" ref="D28" si="8">D29-D26-D27</f>
        <v>18630647.3179975</v>
      </c>
      <c r="E28" s="54">
        <f t="shared" ref="E28" si="9">E29-E26-E27</f>
        <v>101260443.98635852</v>
      </c>
      <c r="F28" s="54">
        <f t="shared" ref="F28" si="10">F29-F26-F27</f>
        <v>596827800.15991831</v>
      </c>
      <c r="G28" s="54">
        <f t="shared" ref="G28" si="11">G29-G26-G27</f>
        <v>370688448.19952399</v>
      </c>
      <c r="H28" s="54">
        <f t="shared" ref="H28" si="12">H29-H26-H27</f>
        <v>150323758.40443599</v>
      </c>
      <c r="I28" s="54">
        <f t="shared" ref="I28" si="13">I29-I26-I27</f>
        <v>534133061.15643692</v>
      </c>
      <c r="J28" s="54">
        <f t="shared" ref="J28" si="14">J29-J26-J27</f>
        <v>19094810.790376324</v>
      </c>
      <c r="K28" s="54">
        <f t="shared" ref="K28" si="15">K29-K26-K27</f>
        <v>95600713.039172962</v>
      </c>
      <c r="L28" s="54">
        <f t="shared" ref="L28" si="16">L29-L26-L27</f>
        <v>10820884.842452802</v>
      </c>
      <c r="M28" s="61">
        <f t="shared" si="7"/>
        <v>1897864623.7166731</v>
      </c>
    </row>
    <row r="29" spans="2:13" ht="15.75" thickBot="1" x14ac:dyDescent="0.3">
      <c r="B29" s="250" t="s">
        <v>244</v>
      </c>
      <c r="C29" s="251">
        <v>484055.82</v>
      </c>
      <c r="D29" s="251">
        <v>24954696.91</v>
      </c>
      <c r="E29" s="251">
        <v>125346914.31862129</v>
      </c>
      <c r="F29" s="251">
        <v>752918183.05011833</v>
      </c>
      <c r="G29" s="251">
        <v>513693806.47248113</v>
      </c>
      <c r="H29" s="251">
        <v>170634808.83152285</v>
      </c>
      <c r="I29" s="251">
        <v>613743743.26424658</v>
      </c>
      <c r="J29" s="251">
        <v>19872228.598765075</v>
      </c>
      <c r="K29" s="251">
        <v>97810266.801224723</v>
      </c>
      <c r="L29" s="251">
        <v>18121056.758491736</v>
      </c>
      <c r="M29" s="247">
        <f t="shared" si="7"/>
        <v>2337579760.8254714</v>
      </c>
    </row>
    <row r="30" spans="2:13" ht="15.75" thickTop="1" x14ac:dyDescent="0.25"/>
    <row r="31" spans="2:13" x14ac:dyDescent="0.25">
      <c r="B31" s="51" t="s">
        <v>175</v>
      </c>
    </row>
    <row r="32" spans="2:13" x14ac:dyDescent="0.25">
      <c r="C32" s="71"/>
      <c r="D32" s="55">
        <v>350</v>
      </c>
      <c r="E32" s="55">
        <v>352</v>
      </c>
      <c r="F32" s="55">
        <v>353</v>
      </c>
      <c r="G32" s="55">
        <v>354</v>
      </c>
      <c r="H32" s="55">
        <v>355</v>
      </c>
      <c r="I32" s="55">
        <v>356</v>
      </c>
      <c r="J32" s="55">
        <v>357</v>
      </c>
      <c r="K32" s="55">
        <v>358</v>
      </c>
      <c r="L32" s="55">
        <v>359</v>
      </c>
      <c r="M32" s="55" t="s">
        <v>20</v>
      </c>
    </row>
    <row r="33" spans="2:13" x14ac:dyDescent="0.25">
      <c r="B33" s="52" t="s">
        <v>242</v>
      </c>
      <c r="D33" s="244">
        <v>0.61501815233817103</v>
      </c>
      <c r="E33" s="244">
        <v>0.47574166609329349</v>
      </c>
      <c r="F33" s="244">
        <v>0.47511634817784265</v>
      </c>
      <c r="G33" s="244">
        <v>0.86959344115185921</v>
      </c>
      <c r="H33" s="244">
        <v>0.17128191773960449</v>
      </c>
      <c r="I33" s="244">
        <v>0.61431816914753534</v>
      </c>
      <c r="J33" s="244">
        <v>3.2595683066170881E-3</v>
      </c>
      <c r="K33" s="244">
        <v>7.1814723871002784E-3</v>
      </c>
      <c r="L33" s="244">
        <v>0.70332976877443776</v>
      </c>
      <c r="M33" s="61"/>
    </row>
    <row r="34" spans="2:13" x14ac:dyDescent="0.25">
      <c r="B34" s="52" t="s">
        <v>174</v>
      </c>
      <c r="C34" s="54"/>
      <c r="D34" s="54">
        <f>D26+C26</f>
        <v>6825977.3420024989</v>
      </c>
      <c r="E34" s="54">
        <f t="shared" ref="E34:L34" si="17">E26</f>
        <v>25774570.972262766</v>
      </c>
      <c r="F34" s="54">
        <f t="shared" si="17"/>
        <v>122191684.66020004</v>
      </c>
      <c r="G34" s="54">
        <f t="shared" si="17"/>
        <v>138586485.11295712</v>
      </c>
      <c r="H34" s="54">
        <f t="shared" si="17"/>
        <v>16498585.567086834</v>
      </c>
      <c r="I34" s="54">
        <f t="shared" si="17"/>
        <v>78974458.467809707</v>
      </c>
      <c r="J34" s="54">
        <f t="shared" si="17"/>
        <v>746768.29838875006</v>
      </c>
      <c r="K34" s="54">
        <f t="shared" si="17"/>
        <v>1915385.4720517492</v>
      </c>
      <c r="L34" s="54">
        <f t="shared" si="17"/>
        <v>7373856.466038934</v>
      </c>
      <c r="M34" s="61">
        <f t="shared" ref="M34:M37" si="18">SUM(C34:L34)</f>
        <v>398887772.35879844</v>
      </c>
    </row>
    <row r="35" spans="2:13" x14ac:dyDescent="0.25">
      <c r="B35" s="52" t="s">
        <v>243</v>
      </c>
      <c r="C35" s="54"/>
      <c r="D35" s="54">
        <f>D27+C27</f>
        <v>-501927.75</v>
      </c>
      <c r="E35" s="54">
        <f t="shared" ref="E35:L35" si="19">E27</f>
        <v>-1688100.6400000001</v>
      </c>
      <c r="F35" s="54">
        <f t="shared" si="19"/>
        <v>33898698.229999997</v>
      </c>
      <c r="G35" s="54">
        <f t="shared" si="19"/>
        <v>4418873.16</v>
      </c>
      <c r="H35" s="54">
        <f t="shared" si="19"/>
        <v>3812464.8600000003</v>
      </c>
      <c r="I35" s="54">
        <f t="shared" si="19"/>
        <v>636223.6400000006</v>
      </c>
      <c r="J35" s="54">
        <f t="shared" si="19"/>
        <v>30649.51</v>
      </c>
      <c r="K35" s="54">
        <f t="shared" si="19"/>
        <v>294168.28999999998</v>
      </c>
      <c r="L35" s="54">
        <f t="shared" si="19"/>
        <v>-73684.55</v>
      </c>
      <c r="M35" s="61">
        <f t="shared" si="18"/>
        <v>40827364.75</v>
      </c>
    </row>
    <row r="36" spans="2:13" x14ac:dyDescent="0.25">
      <c r="B36" s="52" t="s">
        <v>218</v>
      </c>
      <c r="C36" s="54"/>
      <c r="D36" s="54">
        <f>(D28+C28)*D33</f>
        <v>11755889.406423863</v>
      </c>
      <c r="E36" s="54">
        <f>E33*E28</f>
        <v>48173812.331416823</v>
      </c>
      <c r="F36" s="54">
        <f t="shared" ref="F36:L36" si="20">F33*F28</f>
        <v>283562644.90299565</v>
      </c>
      <c r="G36" s="54">
        <f t="shared" si="20"/>
        <v>322348243.2650668</v>
      </c>
      <c r="H36" s="54">
        <f t="shared" si="20"/>
        <v>25747741.621336784</v>
      </c>
      <c r="I36" s="54">
        <f t="shared" si="20"/>
        <v>328127644.21079087</v>
      </c>
      <c r="J36" s="54">
        <f t="shared" si="20"/>
        <v>62240.840073160653</v>
      </c>
      <c r="K36" s="54">
        <f t="shared" si="20"/>
        <v>686553.88087791821</v>
      </c>
      <c r="L36" s="54">
        <f t="shared" si="20"/>
        <v>7610650.4341771472</v>
      </c>
      <c r="M36" s="61">
        <f t="shared" si="18"/>
        <v>1028075420.893159</v>
      </c>
    </row>
    <row r="37" spans="2:13" ht="15.75" thickBot="1" x14ac:dyDescent="0.3">
      <c r="B37" s="250" t="s">
        <v>245</v>
      </c>
      <c r="C37" s="248"/>
      <c r="D37" s="248">
        <f t="shared" ref="D37" si="21">SUM(D34:D36)</f>
        <v>18079938.998426363</v>
      </c>
      <c r="E37" s="248">
        <f t="shared" ref="E37" si="22">SUM(E34:E36)</f>
        <v>72260282.663679585</v>
      </c>
      <c r="F37" s="248">
        <f t="shared" ref="F37" si="23">SUM(F34:F36)</f>
        <v>439653027.79319572</v>
      </c>
      <c r="G37" s="248">
        <f t="shared" ref="G37" si="24">SUM(G34:G36)</f>
        <v>465353601.53802395</v>
      </c>
      <c r="H37" s="248">
        <f t="shared" ref="H37" si="25">SUM(H34:H36)</f>
        <v>46058792.048423618</v>
      </c>
      <c r="I37" s="248">
        <f t="shared" ref="I37" si="26">SUM(I34:I36)</f>
        <v>407738326.31860059</v>
      </c>
      <c r="J37" s="248">
        <f t="shared" ref="J37" si="27">SUM(J34:J36)</f>
        <v>839658.64846191066</v>
      </c>
      <c r="K37" s="248">
        <f t="shared" ref="K37" si="28">SUM(K34:K36)</f>
        <v>2896107.6429296671</v>
      </c>
      <c r="L37" s="248">
        <f t="shared" ref="L37" si="29">SUM(L34:L36)</f>
        <v>14910822.350216081</v>
      </c>
      <c r="M37" s="247">
        <f t="shared" si="18"/>
        <v>1467790558.0019574</v>
      </c>
    </row>
    <row r="38" spans="2:13" ht="15.75" thickTop="1" x14ac:dyDescent="0.25"/>
  </sheetData>
  <printOptions horizontalCentered="1"/>
  <pageMargins left="0.7" right="0.7" top="0.75" bottom="0.75" header="0.3" footer="0.3"/>
  <pageSetup scale="59" orientation="landscape" r:id="rId1"/>
  <headerFooter>
    <oddHeader>&amp;RExhibit SCE-22
TO2018
WP‐Schedule 6 and 8
Page &amp;P of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3:J31"/>
  <sheetViews>
    <sheetView showGridLines="0" zoomScale="115" zoomScaleNormal="115" zoomScaleSheetLayoutView="85" workbookViewId="0">
      <selection activeCell="A3" sqref="A3"/>
    </sheetView>
  </sheetViews>
  <sheetFormatPr defaultRowHeight="15" x14ac:dyDescent="0.25"/>
  <cols>
    <col min="1" max="1" width="9.5703125" style="52" customWidth="1"/>
    <col min="2" max="2" width="27.5703125" style="52" customWidth="1"/>
    <col min="3" max="3" width="16.85546875" style="52" bestFit="1" customWidth="1"/>
    <col min="4" max="4" width="18.28515625" style="52" customWidth="1"/>
    <col min="5" max="5" width="21.28515625" style="52" customWidth="1"/>
    <col min="6" max="6" width="16.5703125" style="52" customWidth="1"/>
    <col min="7" max="7" width="14.28515625" style="52" bestFit="1" customWidth="1"/>
    <col min="8" max="8" width="13.42578125" style="52" bestFit="1" customWidth="1"/>
    <col min="9" max="9" width="16.85546875" style="74" bestFit="1" customWidth="1"/>
    <col min="10" max="10" width="9.7109375" style="52" bestFit="1" customWidth="1"/>
    <col min="11" max="11" width="27.140625" style="52" bestFit="1" customWidth="1"/>
    <col min="12" max="12" width="16.85546875" style="52" bestFit="1" customWidth="1"/>
    <col min="13" max="13" width="14.28515625" style="52" bestFit="1" customWidth="1"/>
    <col min="14" max="16384" width="9.140625" style="52"/>
  </cols>
  <sheetData>
    <row r="3" spans="1:10" x14ac:dyDescent="0.25">
      <c r="B3" s="252" t="s">
        <v>234</v>
      </c>
    </row>
    <row r="4" spans="1:10" ht="15.75" thickBot="1" x14ac:dyDescent="0.3">
      <c r="B4" s="253" t="s">
        <v>238</v>
      </c>
      <c r="C4" s="53"/>
      <c r="D4" s="53"/>
    </row>
    <row r="5" spans="1:10" x14ac:dyDescent="0.25">
      <c r="B5" s="52" t="s">
        <v>239</v>
      </c>
    </row>
    <row r="6" spans="1:10" ht="27.75" customHeight="1" x14ac:dyDescent="0.25">
      <c r="A6" s="56"/>
      <c r="B6" s="52" t="s">
        <v>180</v>
      </c>
      <c r="E6" s="57"/>
      <c r="F6" s="58"/>
      <c r="G6" s="57"/>
      <c r="H6" s="57"/>
    </row>
    <row r="7" spans="1:10" x14ac:dyDescent="0.25">
      <c r="A7" s="56"/>
      <c r="B7" s="59"/>
      <c r="C7" s="55">
        <v>2016</v>
      </c>
      <c r="D7" s="55">
        <v>2015</v>
      </c>
      <c r="E7" s="76"/>
      <c r="F7" s="77"/>
      <c r="G7" s="60"/>
      <c r="H7" s="60"/>
      <c r="J7" s="59"/>
    </row>
    <row r="8" spans="1:10" x14ac:dyDescent="0.25">
      <c r="A8" s="56"/>
      <c r="B8" s="52" t="s">
        <v>235</v>
      </c>
      <c r="C8" s="246">
        <v>2330841181</v>
      </c>
      <c r="D8" s="246">
        <v>2142777663</v>
      </c>
      <c r="E8" s="56"/>
      <c r="F8" s="56"/>
      <c r="G8" s="56"/>
      <c r="H8" s="56"/>
    </row>
    <row r="9" spans="1:10" x14ac:dyDescent="0.25">
      <c r="A9" s="56"/>
      <c r="B9" s="52" t="s">
        <v>219</v>
      </c>
      <c r="C9" s="61">
        <f>-C22+C19</f>
        <v>135057.88999999911</v>
      </c>
      <c r="D9" s="61">
        <f>-D22+D19</f>
        <v>-21020.280000001192</v>
      </c>
      <c r="E9" s="57"/>
      <c r="F9" s="58"/>
      <c r="G9" s="56"/>
      <c r="H9" s="56"/>
    </row>
    <row r="10" spans="1:10" x14ac:dyDescent="0.25">
      <c r="A10" s="56"/>
      <c r="B10" s="52" t="s">
        <v>220</v>
      </c>
      <c r="C10" s="61">
        <f>C21</f>
        <v>6567511.7800000003</v>
      </c>
      <c r="D10" s="61">
        <f>D21</f>
        <v>9730106.5599999987</v>
      </c>
      <c r="E10" s="76"/>
      <c r="F10" s="77"/>
      <c r="G10" s="60"/>
      <c r="H10" s="60"/>
    </row>
    <row r="11" spans="1:10" x14ac:dyDescent="0.25">
      <c r="A11" s="56"/>
      <c r="B11" s="52" t="s">
        <v>221</v>
      </c>
      <c r="C11" s="61">
        <f>C23</f>
        <v>36010.449999999997</v>
      </c>
      <c r="D11" s="61">
        <f>D23</f>
        <v>-10854659</v>
      </c>
      <c r="E11" s="56"/>
      <c r="F11" s="56"/>
      <c r="G11" s="56"/>
      <c r="H11" s="56"/>
    </row>
    <row r="12" spans="1:10" ht="15.75" thickBot="1" x14ac:dyDescent="0.3">
      <c r="A12" s="56"/>
      <c r="B12" s="52" t="s">
        <v>236</v>
      </c>
      <c r="C12" s="248">
        <f>SUM(C8:C11)</f>
        <v>2337579761.1199999</v>
      </c>
      <c r="D12" s="248">
        <f>SUM(D8:D11)</f>
        <v>2141632090.2800002</v>
      </c>
      <c r="E12" s="56"/>
      <c r="F12" s="60"/>
      <c r="G12" s="56"/>
      <c r="H12" s="56"/>
    </row>
    <row r="13" spans="1:10" ht="15.75" thickTop="1" x14ac:dyDescent="0.25">
      <c r="A13" s="56"/>
      <c r="E13" s="56"/>
      <c r="F13" s="56"/>
      <c r="G13" s="56"/>
      <c r="H13" s="56"/>
    </row>
    <row r="14" spans="1:10" hidden="1" x14ac:dyDescent="0.25">
      <c r="A14" s="56"/>
      <c r="B14" s="52" t="s">
        <v>237</v>
      </c>
      <c r="C14" s="59">
        <f>'Accum Depr Calc'!M29-C12</f>
        <v>-0.29452848434448242</v>
      </c>
      <c r="D14" s="59">
        <f>'Accum Depr Calc'!M12-D12</f>
        <v>0.12999963760375977</v>
      </c>
      <c r="E14" s="60"/>
      <c r="F14" s="60"/>
      <c r="G14" s="56"/>
      <c r="H14" s="56"/>
    </row>
    <row r="15" spans="1:10" x14ac:dyDescent="0.25">
      <c r="A15" s="56"/>
      <c r="E15" s="56"/>
      <c r="F15" s="56"/>
      <c r="G15" s="56"/>
      <c r="H15" s="56"/>
    </row>
    <row r="16" spans="1:10" x14ac:dyDescent="0.25">
      <c r="A16" s="56"/>
      <c r="E16" s="56"/>
      <c r="F16" s="62"/>
      <c r="G16" s="56"/>
      <c r="H16" s="56"/>
    </row>
    <row r="17" spans="1:8" x14ac:dyDescent="0.25">
      <c r="A17" s="56"/>
      <c r="B17" s="52" t="s">
        <v>224</v>
      </c>
      <c r="E17" s="78"/>
      <c r="F17" s="56"/>
      <c r="G17" s="56"/>
      <c r="H17" s="56"/>
    </row>
    <row r="18" spans="1:8" x14ac:dyDescent="0.25">
      <c r="A18" s="63"/>
      <c r="C18" s="55">
        <v>2016</v>
      </c>
      <c r="D18" s="55">
        <v>2015</v>
      </c>
      <c r="E18" s="56"/>
      <c r="F18" s="56"/>
      <c r="G18" s="56"/>
      <c r="H18" s="56"/>
    </row>
    <row r="19" spans="1:8" x14ac:dyDescent="0.25">
      <c r="A19" s="63"/>
      <c r="B19" s="52" t="s">
        <v>222</v>
      </c>
      <c r="C19" s="246">
        <v>54393.85</v>
      </c>
      <c r="D19" s="246">
        <v>0</v>
      </c>
      <c r="E19" s="56"/>
      <c r="F19" s="56"/>
      <c r="G19" s="56"/>
      <c r="H19" s="56"/>
    </row>
    <row r="20" spans="1:8" x14ac:dyDescent="0.25">
      <c r="A20" s="56"/>
      <c r="B20" s="52" t="s">
        <v>223</v>
      </c>
      <c r="C20" s="246">
        <v>0</v>
      </c>
      <c r="D20" s="246">
        <v>0</v>
      </c>
      <c r="E20" s="56"/>
      <c r="F20" s="56"/>
      <c r="G20" s="56"/>
      <c r="H20" s="56"/>
    </row>
    <row r="21" spans="1:8" x14ac:dyDescent="0.25">
      <c r="A21" s="56"/>
      <c r="B21" s="52" t="s">
        <v>220</v>
      </c>
      <c r="C21" s="246">
        <v>6567511.7800000003</v>
      </c>
      <c r="D21" s="246">
        <v>9730106.5599999987</v>
      </c>
      <c r="E21" s="56"/>
      <c r="F21" s="56"/>
      <c r="G21" s="56"/>
      <c r="H21" s="56"/>
    </row>
    <row r="22" spans="1:8" x14ac:dyDescent="0.25">
      <c r="A22" s="56"/>
      <c r="B22" s="52" t="s">
        <v>225</v>
      </c>
      <c r="C22" s="246">
        <v>-80664.039999999106</v>
      </c>
      <c r="D22" s="246">
        <v>21020.280000001192</v>
      </c>
      <c r="E22" s="56"/>
      <c r="F22" s="56"/>
      <c r="G22" s="56"/>
      <c r="H22" s="56"/>
    </row>
    <row r="23" spans="1:8" x14ac:dyDescent="0.25">
      <c r="A23" s="63"/>
      <c r="B23" s="52" t="s">
        <v>226</v>
      </c>
      <c r="C23" s="246">
        <v>36010.449999999997</v>
      </c>
      <c r="D23" s="246">
        <v>-10854659</v>
      </c>
      <c r="E23" s="56"/>
      <c r="F23" s="56"/>
      <c r="G23" s="56"/>
      <c r="H23" s="56"/>
    </row>
    <row r="24" spans="1:8" ht="15.75" thickBot="1" x14ac:dyDescent="0.3">
      <c r="A24" s="63"/>
      <c r="B24" s="52" t="s">
        <v>20</v>
      </c>
      <c r="C24" s="247">
        <f>SUM(C19:C23)</f>
        <v>6577252.040000001</v>
      </c>
      <c r="D24" s="247">
        <f>SUM(D19:D23)</f>
        <v>-1103532.1600000001</v>
      </c>
      <c r="E24" s="56"/>
      <c r="F24" s="56"/>
      <c r="G24" s="56"/>
      <c r="H24" s="56"/>
    </row>
    <row r="25" spans="1:8" ht="15.75" thickTop="1" x14ac:dyDescent="0.25">
      <c r="A25" s="63"/>
      <c r="B25" s="64"/>
      <c r="C25" s="56"/>
      <c r="D25" s="56"/>
      <c r="E25" s="56"/>
      <c r="F25" s="56"/>
      <c r="G25" s="56"/>
      <c r="H25" s="56"/>
    </row>
    <row r="26" spans="1:8" x14ac:dyDescent="0.25">
      <c r="A26" s="63"/>
      <c r="B26" s="64"/>
      <c r="C26" s="56"/>
      <c r="D26" s="56"/>
      <c r="E26" s="56"/>
      <c r="F26" s="56"/>
      <c r="G26" s="56"/>
      <c r="H26" s="56"/>
    </row>
    <row r="27" spans="1:8" x14ac:dyDescent="0.25">
      <c r="A27" s="56"/>
      <c r="B27" s="65"/>
      <c r="C27" s="56"/>
      <c r="D27" s="56"/>
      <c r="E27" s="56"/>
      <c r="F27" s="56"/>
      <c r="G27" s="56"/>
      <c r="H27" s="56"/>
    </row>
    <row r="28" spans="1:8" x14ac:dyDescent="0.25">
      <c r="A28" s="56"/>
      <c r="B28" s="65"/>
      <c r="C28" s="56"/>
      <c r="D28" s="56"/>
      <c r="E28" s="56"/>
      <c r="F28" s="56"/>
      <c r="G28" s="56"/>
      <c r="H28" s="56"/>
    </row>
    <row r="29" spans="1:8" x14ac:dyDescent="0.25">
      <c r="A29" s="56"/>
      <c r="B29" s="65"/>
      <c r="C29" s="62"/>
      <c r="D29" s="56"/>
      <c r="E29" s="56"/>
      <c r="F29" s="56"/>
      <c r="G29" s="56"/>
      <c r="H29" s="56"/>
    </row>
    <row r="30" spans="1:8" x14ac:dyDescent="0.25">
      <c r="A30" s="56"/>
      <c r="B30" s="56"/>
      <c r="C30" s="56"/>
      <c r="D30" s="56"/>
      <c r="E30" s="56"/>
      <c r="F30" s="56"/>
      <c r="G30" s="56"/>
      <c r="H30" s="56"/>
    </row>
    <row r="31" spans="1:8" x14ac:dyDescent="0.25">
      <c r="B31" s="66"/>
    </row>
  </sheetData>
  <pageMargins left="0.7" right="0.7" top="0.75" bottom="0.75" header="0.3" footer="0.3"/>
  <pageSetup scale="74" orientation="portrait" r:id="rId1"/>
  <headerFooter>
    <oddHeader>&amp;RExhibit SCE-22
TO2018
WP‐Schedule 6 and 8
Page &amp;P of &amp;N</oddHeader>
  </headerFooter>
  <colBreaks count="1" manualBreakCount="1">
    <brk id="7" min="2" max="4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E7"/>
  <sheetViews>
    <sheetView showGridLines="0" zoomScaleNormal="100" zoomScaleSheetLayoutView="115" workbookViewId="0">
      <selection activeCell="B2" sqref="B2"/>
    </sheetView>
  </sheetViews>
  <sheetFormatPr defaultRowHeight="15" x14ac:dyDescent="0.25"/>
  <cols>
    <col min="1" max="1" width="9.140625" style="52"/>
    <col min="2" max="4" width="15.42578125" style="52" customWidth="1"/>
    <col min="5" max="5" width="47.5703125" style="52" bestFit="1" customWidth="1"/>
    <col min="6" max="6" width="15.42578125" style="52" customWidth="1"/>
    <col min="7" max="16384" width="9.140625" style="52"/>
  </cols>
  <sheetData>
    <row r="2" spans="2:5" x14ac:dyDescent="0.25">
      <c r="B2" s="51" t="s">
        <v>234</v>
      </c>
    </row>
    <row r="3" spans="2:5" ht="15.75" thickBot="1" x14ac:dyDescent="0.3">
      <c r="B3" s="245" t="s">
        <v>240</v>
      </c>
      <c r="C3" s="53"/>
      <c r="D3" s="53"/>
      <c r="E3" s="53"/>
    </row>
    <row r="5" spans="2:5" x14ac:dyDescent="0.25">
      <c r="B5" s="55" t="s">
        <v>49</v>
      </c>
      <c r="C5" s="55" t="s">
        <v>50</v>
      </c>
      <c r="D5" s="55" t="s">
        <v>20</v>
      </c>
      <c r="E5" s="55" t="s">
        <v>227</v>
      </c>
    </row>
    <row r="6" spans="2:5" x14ac:dyDescent="0.25">
      <c r="B6" s="246">
        <v>1011263915</v>
      </c>
      <c r="C6" s="246">
        <v>946990880</v>
      </c>
      <c r="D6" s="74">
        <f>B6+C6</f>
        <v>1958254795</v>
      </c>
      <c r="E6" s="52" t="s">
        <v>228</v>
      </c>
    </row>
    <row r="7" spans="2:5" x14ac:dyDescent="0.25">
      <c r="B7" s="246">
        <v>1073416375</v>
      </c>
      <c r="C7" s="246">
        <v>843998303</v>
      </c>
      <c r="D7" s="74">
        <f>B7+C7</f>
        <v>1917414678</v>
      </c>
      <c r="E7" s="52" t="s">
        <v>229</v>
      </c>
    </row>
  </sheetData>
  <pageMargins left="0.7" right="0.7" top="0.75" bottom="0.75" header="0.3" footer="0.3"/>
  <pageSetup scale="89" orientation="portrait" r:id="rId1"/>
  <headerFooter>
    <oddHeader>&amp;RExhibit SCE-22
TO2018
WP‐Schedule 6 and 8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6-PlantInService</vt:lpstr>
      <vt:lpstr>8-AccDep</vt:lpstr>
      <vt:lpstr>17-Depreciation</vt:lpstr>
      <vt:lpstr>Trans Plant-Rsrve Act</vt:lpstr>
      <vt:lpstr>2016 ISO Study with Inc Plant</vt:lpstr>
      <vt:lpstr>2015 ISO Study with Inc Plant</vt:lpstr>
      <vt:lpstr>Accum Depr Calc</vt:lpstr>
      <vt:lpstr>Reserve Recon to FF1</vt:lpstr>
      <vt:lpstr>General &amp; Intangible Reserve</vt:lpstr>
      <vt:lpstr>'17-Depreciation'!Print_Area</vt:lpstr>
      <vt:lpstr>'2015 ISO Study with Inc Plant'!Print_Area</vt:lpstr>
      <vt:lpstr>'2016 ISO Study with Inc Plant'!Print_Area</vt:lpstr>
      <vt:lpstr>'6-PlantInService'!Print_Area</vt:lpstr>
      <vt:lpstr>'8-AccDep'!Print_Area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Kim, Jee Young</cp:lastModifiedBy>
  <cp:lastPrinted>2017-10-25T18:54:39Z</cp:lastPrinted>
  <dcterms:created xsi:type="dcterms:W3CDTF">2017-09-11T21:26:51Z</dcterms:created>
  <dcterms:modified xsi:type="dcterms:W3CDTF">2017-10-25T18:56:36Z</dcterms:modified>
</cp:coreProperties>
</file>